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F:\MAY CU\NĂM 2026\NGHỊ QUYẾT THAY THẾ 815\HỒ SƠ TRÌNH NGHỊ QUYẾT\"/>
    </mc:Choice>
  </mc:AlternateContent>
  <xr:revisionPtr revIDLastSave="0" documentId="13_ncr:1_{CAC27032-5D05-40E2-BDD6-8851776BA4DC}" xr6:coauthVersionLast="36" xr6:coauthVersionMax="36" xr10:uidLastSave="{00000000-0000-0000-0000-000000000000}"/>
  <bookViews>
    <workbookView xWindow="0" yWindow="0" windowWidth="19920" windowHeight="9525" activeTab="2" xr2:uid="{DBFC5383-D343-4AC9-89BE-69E3E54A9839}"/>
  </bookViews>
  <sheets>
    <sheet name="PL 1 thực hiện 815" sheetId="3" r:id="rId1"/>
    <sheet name="PL 04 KP 2027 GIỮ 815" sheetId="5" r:id="rId2"/>
    <sheet name="PL 3 KP Dự thảo NQ" sheetId="4" r:id="rId3"/>
  </sheets>
  <definedNames>
    <definedName name="_xlnm.Print_Titles" localSheetId="0">'PL 1 thực hiện 815'!$6:$8</definedName>
    <definedName name="_xlnm.Print_Titles" localSheetId="2">'PL 3 KP Dự thảo NQ'!$5:$7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5" i="4" l="1"/>
  <c r="G22" i="4"/>
  <c r="G18" i="4"/>
  <c r="H16" i="3"/>
  <c r="G16" i="3"/>
  <c r="D37" i="5"/>
  <c r="G37" i="5" s="1"/>
  <c r="D35" i="5"/>
  <c r="G35" i="5" s="1"/>
  <c r="D36" i="5"/>
  <c r="D32" i="5"/>
  <c r="D31" i="5"/>
  <c r="G31" i="5" s="1"/>
  <c r="D28" i="5"/>
  <c r="D27" i="5"/>
  <c r="D25" i="5"/>
  <c r="D23" i="5" s="1"/>
  <c r="D24" i="5"/>
  <c r="G28" i="5"/>
  <c r="G32" i="5"/>
  <c r="G33" i="5"/>
  <c r="G36" i="5"/>
  <c r="G27" i="5"/>
  <c r="G25" i="5"/>
  <c r="G24" i="5"/>
  <c r="G19" i="5"/>
  <c r="G20" i="5"/>
  <c r="G13" i="5"/>
  <c r="G15" i="5"/>
  <c r="G16" i="5"/>
  <c r="G14" i="5"/>
  <c r="G12" i="5"/>
  <c r="G11" i="5"/>
  <c r="D29" i="5"/>
  <c r="G29" i="5" s="1"/>
  <c r="D26" i="5"/>
  <c r="G18" i="5"/>
  <c r="D18" i="5"/>
  <c r="D13" i="5"/>
  <c r="D12" i="5"/>
  <c r="D9" i="5"/>
  <c r="D34" i="5" l="1"/>
  <c r="G30" i="5"/>
  <c r="D30" i="5"/>
  <c r="G26" i="5"/>
  <c r="D22" i="5"/>
  <c r="D21" i="5" s="1"/>
  <c r="D17" i="5" s="1"/>
  <c r="G23" i="5"/>
  <c r="G34" i="5"/>
  <c r="G22" i="5"/>
  <c r="G21" i="5" s="1"/>
  <c r="D38" i="5"/>
  <c r="G10" i="5"/>
  <c r="G9" i="5" s="1"/>
  <c r="G17" i="5" l="1"/>
  <c r="G38" i="5" s="1"/>
  <c r="F27" i="4" l="1"/>
  <c r="G27" i="4" s="1"/>
  <c r="F26" i="4"/>
  <c r="G26" i="4" s="1"/>
  <c r="F24" i="4"/>
  <c r="G24" i="4" s="1"/>
  <c r="F23" i="4"/>
  <c r="G23" i="4" s="1"/>
  <c r="F44" i="4"/>
  <c r="G44" i="4" s="1"/>
  <c r="G43" i="4"/>
  <c r="G42" i="4"/>
  <c r="F41" i="4"/>
  <c r="G41" i="4" s="1"/>
  <c r="G40" i="4"/>
  <c r="G39" i="4"/>
  <c r="G38" i="4" s="1"/>
  <c r="G17" i="4" s="1"/>
  <c r="F38" i="4"/>
  <c r="C38" i="4"/>
  <c r="G37" i="4"/>
  <c r="F37" i="4"/>
  <c r="G36" i="4"/>
  <c r="F36" i="4"/>
  <c r="G35" i="4"/>
  <c r="C35" i="4"/>
  <c r="G34" i="4"/>
  <c r="F34" i="4"/>
  <c r="G33" i="4"/>
  <c r="F33" i="4"/>
  <c r="G32" i="4"/>
  <c r="F32" i="4"/>
  <c r="G31" i="4"/>
  <c r="C31" i="4"/>
  <c r="G30" i="4"/>
  <c r="F30" i="4"/>
  <c r="G29" i="4"/>
  <c r="F29" i="4"/>
  <c r="G28" i="4"/>
  <c r="C28" i="4"/>
  <c r="G21" i="4"/>
  <c r="F21" i="4"/>
  <c r="G20" i="4"/>
  <c r="F20" i="4"/>
  <c r="G19" i="4"/>
  <c r="C19" i="4"/>
  <c r="C18" i="4"/>
  <c r="C17" i="4"/>
  <c r="G16" i="4"/>
  <c r="F16" i="4"/>
  <c r="G15" i="4"/>
  <c r="F15" i="4"/>
  <c r="G14" i="4"/>
  <c r="G13" i="4"/>
  <c r="G12" i="4"/>
  <c r="F12" i="4"/>
  <c r="G11" i="4"/>
  <c r="G10" i="4" s="1"/>
  <c r="G9" i="4" s="1"/>
  <c r="G8" i="4" s="1"/>
  <c r="C9" i="4"/>
  <c r="C8" i="4"/>
  <c r="H13" i="3"/>
  <c r="H14" i="3"/>
  <c r="H9" i="3" s="1"/>
  <c r="H38" i="3" s="1"/>
  <c r="H12" i="3"/>
  <c r="H11" i="3"/>
  <c r="H30" i="3"/>
  <c r="H34" i="3"/>
  <c r="H17" i="3"/>
  <c r="H18" i="3"/>
  <c r="H21" i="3"/>
  <c r="H26" i="3"/>
  <c r="H22" i="3"/>
  <c r="H23" i="3"/>
  <c r="H24" i="3"/>
  <c r="H37" i="3"/>
  <c r="H36" i="3"/>
  <c r="H35" i="3"/>
  <c r="H33" i="3"/>
  <c r="H32" i="3"/>
  <c r="H31" i="3"/>
  <c r="H29" i="3"/>
  <c r="H28" i="3"/>
  <c r="H27" i="3"/>
  <c r="H25" i="3"/>
  <c r="H20" i="3"/>
  <c r="H19" i="3"/>
  <c r="G13" i="3"/>
  <c r="G12" i="3"/>
  <c r="G11" i="3"/>
  <c r="D29" i="3"/>
  <c r="G35" i="3"/>
  <c r="G33" i="3"/>
  <c r="G20" i="3"/>
  <c r="G19" i="3"/>
  <c r="G37" i="3"/>
  <c r="G36" i="3"/>
  <c r="G32" i="3"/>
  <c r="G31" i="3"/>
  <c r="G29" i="3"/>
  <c r="G28" i="3"/>
  <c r="G27" i="3"/>
  <c r="G25" i="3"/>
  <c r="G24" i="3"/>
  <c r="H10" i="3" l="1"/>
  <c r="G34" i="3"/>
  <c r="D34" i="3"/>
  <c r="D30" i="3"/>
  <c r="D26" i="3"/>
  <c r="G23" i="3"/>
  <c r="D23" i="3"/>
  <c r="G18" i="3"/>
  <c r="D18" i="3"/>
  <c r="H15" i="3"/>
  <c r="G15" i="3"/>
  <c r="G14" i="3"/>
  <c r="D13" i="3"/>
  <c r="D12" i="3"/>
  <c r="D9" i="3"/>
  <c r="G30" i="3" l="1"/>
  <c r="D22" i="3"/>
  <c r="D21" i="3" s="1"/>
  <c r="G26" i="3"/>
  <c r="D17" i="3"/>
  <c r="D38" i="3" s="1"/>
  <c r="G10" i="3"/>
  <c r="G22" i="3" l="1"/>
  <c r="G9" i="3"/>
  <c r="G21" i="3" l="1"/>
  <c r="G17" i="3" l="1"/>
  <c r="G38" i="3" s="1"/>
</calcChain>
</file>

<file path=xl/sharedStrings.xml><?xml version="1.0" encoding="utf-8"?>
<sst xmlns="http://schemas.openxmlformats.org/spreadsheetml/2006/main" count="162" uniqueCount="83">
  <si>
    <t>STT</t>
  </si>
  <si>
    <t>Nội dung</t>
  </si>
  <si>
    <t>Đối tượng</t>
  </si>
  <si>
    <t>Trợ cấp nuôi dưỡng hàng tháng</t>
  </si>
  <si>
    <t>Dưới 2 tuổi</t>
  </si>
  <si>
    <t>Từ 02 tuổi trở lên</t>
  </si>
  <si>
    <t>Hỗ trợ tiền ăn thêm ngày Lễ, Tết trong năm (11 ngày)</t>
  </si>
  <si>
    <t>I</t>
  </si>
  <si>
    <t>Hỗ trợ chi phí mai táng</t>
  </si>
  <si>
    <t>Được cơ sở TGXH mai táng</t>
  </si>
  <si>
    <t>Gia đình tổ chức mai táng</t>
  </si>
  <si>
    <t>II</t>
  </si>
  <si>
    <t>Người cao tuổi quy định tại điểm a khoản 5 Điều 5 Nghị định số 20/2021/NĐ-CP</t>
  </si>
  <si>
    <t>Khu vực Thành thị</t>
  </si>
  <si>
    <t>Khu vực nông thôn</t>
  </si>
  <si>
    <t>Người cao tuổi cô đơn thuộc diện hộ nghèo, hộ cận nghèo, hộ thoát nghèo, thoát cận nghèo không có người có nghĩa vụ và quyền phụng dưỡng gồm: vợ, chống, con và cháu ruột (cháu của người cao tuổi mà người cao tuổi là ông nội, bà nội, ông ngoại, bà ngoại) hoặc có nhưng những người này đang hưởng trợ cấp xã hội hằng tháng</t>
  </si>
  <si>
    <t>Trợ cấp xã hội hàng tháng</t>
  </si>
  <si>
    <t>Người từ đủ 60 tuổi đến dưới 80 tuổi</t>
  </si>
  <si>
    <t>Người từ đủ 80 tuổi trở lên</t>
  </si>
  <si>
    <t xml:space="preserve">Người khuyết tật đặc biệt nặng quy định tại Khoản 6 Điều 5 Nghị định số 20/2021/NĐ-CP thuộc hộ nghèo, hộ cận nghèo </t>
  </si>
  <si>
    <t>Người khuyết tật đặc biệt nặng quy định tại Khoản 6 Điều 5 Nghị định số 20/2021/NĐ-CP  không thuộc hộ nghèo, hộ cận nghèo</t>
  </si>
  <si>
    <t xml:space="preserve">Người khuyết tật nặng quy định tại Khoản 6 Điều 5 Nghị định số 20/2021/NĐ-CP  thuộc hộ nghèo </t>
  </si>
  <si>
    <t>Khu vực thành thị</t>
  </si>
  <si>
    <t xml:space="preserve">Người khuyết tật nặng quy định tại Khoản 6 Điều 5 Nghị định số 20/2021/NĐ-CP  thuộc hộ cận nghèo </t>
  </si>
  <si>
    <t>Dự toán Kinh phí tỉnh hỗ trợ thêm từ
 Ngân sách tỉnh</t>
  </si>
  <si>
    <t>Hệ số</t>
  </si>
  <si>
    <t>Mức chuẩn</t>
  </si>
  <si>
    <t>1,5</t>
  </si>
  <si>
    <t>Định mức/người/tháng</t>
  </si>
  <si>
    <t>Thành tiền (đ)</t>
  </si>
  <si>
    <t>Số tiền/năm (đ)</t>
  </si>
  <si>
    <t>TỔNG CỘNG</t>
  </si>
  <si>
    <t>Dưới 4 tuổi</t>
  </si>
  <si>
    <t>Từ 4 tuổi đến dưới 16 tuổi</t>
  </si>
  <si>
    <t>Hỗ trợ đối tượng tại các cơ sở trợ giúp xã hội và Trường Giáo dục Chuyên biệt Hưng Yên</t>
  </si>
  <si>
    <t>Hỗ trợ chi phí mai táng đối với đối tượng đặc thù của tỉnh</t>
  </si>
  <si>
    <t>PHỤ LỤC 01</t>
  </si>
  <si>
    <t>(Kèm theo Báo cáo số     /BC-SYT ngày    /   /2026 của Sở Y tế tỉnh Hưng Yên)</t>
  </si>
  <si>
    <t>Số
TT</t>
  </si>
  <si>
    <t>ĐỐI TƯỢNG</t>
  </si>
  <si>
    <t>SỐ LƯỢNG (người)</t>
  </si>
  <si>
    <t xml:space="preserve"> Kinh phí tỉnh hỗ trợ thêm từ
 Ngân sách tỉnh</t>
  </si>
  <si>
    <t>1000đ</t>
  </si>
  <si>
    <t>Tại cơ sở trợ giúp xã hội + Trường Giáo dục chuyên biệt Hưng Yên</t>
  </si>
  <si>
    <t>Trợ cấp nuôi dưỡng hằng tháng</t>
  </si>
  <si>
    <t xml:space="preserve"> Đối tượng dưới 2 tuổi</t>
  </si>
  <si>
    <t>Đối tượng từ đủ 2 tuổi trở lên</t>
  </si>
  <si>
    <t xml:space="preserve">Hỗ trợ tiền ăn thêm ngày Lễ, Tết </t>
  </si>
  <si>
    <t>Được cơ sở trợ giúp xã hội mai táng</t>
  </si>
  <si>
    <t>Tại cộng đồng</t>
  </si>
  <si>
    <t>2.1</t>
  </si>
  <si>
    <t>2.2</t>
  </si>
  <si>
    <t>Kinh phí 
thực hiện/8 tháng đầu năm</t>
  </si>
  <si>
    <t>Ước kinh phí thực hiện năm 2026</t>
  </si>
  <si>
    <t>THỰC TRẠNG ĐỐI TƯỢNG VÀ KINH PHÍ THỰC HIỆN CHÍNH SÁCH TRỢ GIÚP XÃ HỘI ĐỐI VỚI MỘT SỐ ĐỐI TƯỢNG BẢO TRỢ XÃ HỘI  TRÊN ĐỊA BÀN TỈNH HƯNG YÊN  
TỪ NGÂN SÁCH TỈNH THEO NGHỊ QUYẾT SỐ 815/2025/NQ-HĐND</t>
  </si>
  <si>
    <t>TỔNG CỘNG (I+II+III+IV)</t>
  </si>
  <si>
    <t xml:space="preserve"> -</t>
  </si>
  <si>
    <t xml:space="preserve">Trợ giúp xã hội hằng tháng tại cộng đồng </t>
  </si>
  <si>
    <t>Trẻ em thuộc một trong các trường hợp:</t>
  </si>
  <si>
    <t>Cả cha và mẹ đều là người khuyết tật đang hưởng trợ cấp xã hội hằng tháng theo quy định của Chính phủ, trong đó có ít nhất một người là người khuyết tật đặc biệt nặng.</t>
  </si>
  <si>
    <t xml:space="preserve">Trẻ em nhiễm HIV/AIDS </t>
  </si>
  <si>
    <t>Người cao tuổi thuộc hộ cận nghèo không có vợ, chồng, không có con, không có cháu gọi bằng ông (bà) nội, ông (bà) ngoại hoặc có vợ, chồng, có con, có cháu gọi bằng ông (bà) nội, ông (bà) ngoại nhưng những người này đang hưởng trợ cấp xã hội hằng tháng</t>
  </si>
  <si>
    <t>Từ đủ 60 đến dưới 75 tuổi</t>
  </si>
  <si>
    <t>Từ đủ 75 tuổi trở lên</t>
  </si>
  <si>
    <t>Người khuyết tật thuộc một trong các trường hợp sau đây:</t>
  </si>
  <si>
    <t xml:space="preserve"> Người khuyết tật nhẹ là cháu (thế hệ thứ ba) của người hoạt động kháng chiến bị nhiễm chất độc hóa học đã được cơ quan có thẩm quyền xác nhận theo quy định của pháp luật, không hưởng lương hưu, trợ cấp bảo hiểm xã hội hằng tháng hoặc trợ cấp xã hội hằng tháng</t>
  </si>
  <si>
    <t>Người khuyết tật nặng thuộc hộ cận nghèo theo quy định của pháp luật về chuẩn nghèo đa chiều và đang hưởng trợ cấp xã hội hằng tháng theo quy định của Chính phủ về chính sách trợ giúp xã hội.</t>
  </si>
  <si>
    <t>Người khuyết tật đặc biệt nặng đang hưởng trợ cấp xã hội hằng tháng theo quy định của Chính phủ về chính sách trợ giúp xã hội.</t>
  </si>
  <si>
    <t>Người không có nguồn thu nhập ổn định hằng tháng như tiền lương, tiền công, lương hưu, trợ cấp bảo hiểm xã hội, trợ cấp xã hội hằng tháng, trợ cấp hàng tháng khác có kết luận của cơ sở y tế cấp tỉnh trở lên mắc một trong các bệnh sau:
a) U ác tính (mã bệnh C00 đến C97) giai đoạn 3, giai đoạn 4;
b) Suy gan (mã bệnh K72) mức độ nặng;
c) Xơ gan (mã bệnh K74) giai đoạn mất bù;
d) Suy tim (mã bệnh I50) độ 3, độ 4;
đ) Bệnh thận mạn tính (mã bệnh N18.4; N18.5) giai đoạn 4, giai đoạn 5.</t>
  </si>
  <si>
    <t>III</t>
  </si>
  <si>
    <t>Hỗ trợ thêm hằng tháng đối với người đang hưởng trợ cấp hưu trí xã hội</t>
  </si>
  <si>
    <t>IV</t>
  </si>
  <si>
    <t>Cha hoặc mẹ là người khuyết tật đang hưởng trợ cấp xã hội hằng tháng theo quy định của Chính phủ và người còn lại thuộc một trong các trường hợp: đã chết; bị Tòa án tuyên bố mất tích theo quy định của pháp luật; biệt tích từ 12 tháng trở lên; đang chấp hành án phạt tù tại trại giam; đang chấp hành quyết định xử lý vi phạm hành chính tại trường giáo dưỡng, cơ sở giáo dục bắt buộc hoặc cơ sở cai nghiện ma túy bắt buộc; hoặc đang được chăm sóc, nuôi dưỡng tại cơ sở trợ giúp xã hội;</t>
  </si>
  <si>
    <t>Cha hoặc mẹ đã chết hoặc không xác định được và người còn lại biệt tích từ một năm (12 tháng trở lên);</t>
  </si>
  <si>
    <t>Cả cha và mẹ biệt tích từ một năm (12 tháng) trở lên;</t>
  </si>
  <si>
    <t>Người từ đủ 16 tuổi đến đủ 22 tuổi thuộc một trong các trường hợp không nguồn nuôi dưỡng và nhiễm HIV/AIDS đang đi học đến thời điểm kết thúc khóa học</t>
  </si>
  <si>
    <t>PHỤ LỤC 04</t>
  </si>
  <si>
    <t>Dư toán kinh phí thực hiện năm 2026</t>
  </si>
  <si>
    <t xml:space="preserve"> Dự toán Kinh phí tỉnh hỗ trợ thêm từ  Ngân sách tỉnh</t>
  </si>
  <si>
    <t>DỰ TOÁN KINH PHÍ THỰC HIỆN CHÍNH SÁCH TRỢ GIÚP XÃ HỘI NĂM  2027 THEO PHƯƠNG ÁN GIỮ NGUYÊN NỘI DUNG CHÍNH SÁCH THEO NGHỊ QUYẾT SỐ 815/2025/NQ-HĐND</t>
  </si>
  <si>
    <t>(Kèm theo Báo cáo số:      /BC-SYT ngày …..tháng……năm 2026 của Sở Y tế tỉnh Hưng Yên</t>
  </si>
  <si>
    <t>DỰ KIẾN SỐ LƯỢNG, MỨC HỖ TRỢ VÀ KINH PHÍ THỰC HIỆN CÁC CHÍNH SÁCH TẠI DỰ THẢO NGHỊ QUYẾT QUY ĐỊNH CHÍNH SÁCH TRỢ GIÚP XÃ HỘI TRÊN ĐỊA BÀN TỈNH HƯNG YÊN</t>
  </si>
  <si>
    <t>Phụ lục 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</si>
</sst>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17" x14ac:knownFonts="1">
    <font>
      <sz val="11"/>
      <color theme="1"/>
      <name val="Times New Roman"/>
      <family val="2"/>
    </font>
    <font>
      <sz val="11"/>
      <color theme="1"/>
      <name val="Times New Roman"/>
      <family val="2"/>
    </font>
    <font>
      <b/>
      <sz val="11"/>
      <color theme="1"/>
      <name val="Times New Roman"/>
      <family val="1"/>
    </font>
    <font>
      <i/>
      <sz val="11"/>
      <color theme="1"/>
      <name val="Times New Roman"/>
      <family val="1"/>
    </font>
    <font>
      <sz val="11"/>
      <color theme="1"/>
      <name val="Times New Roman"/>
      <family val="1"/>
    </font>
    <font>
      <sz val="10"/>
      <name val="Arial"/>
      <family val="2"/>
    </font>
    <font>
      <b/>
      <sz val="11"/>
      <name val="Times New Roman"/>
      <family val="1"/>
    </font>
    <font>
      <b/>
      <i/>
      <sz val="11"/>
      <name val="Times New Roman"/>
      <family val="1"/>
    </font>
    <font>
      <i/>
      <sz val="11"/>
      <name val="Times New Roman"/>
      <family val="1"/>
    </font>
    <font>
      <sz val="11"/>
      <name val="Times New Roman"/>
      <family val="1"/>
    </font>
    <font>
      <b/>
      <sz val="14"/>
      <color theme="1"/>
      <name val="Times New Roman"/>
      <family val="1"/>
    </font>
    <font>
      <b/>
      <sz val="10"/>
      <name val="Times New Roman"/>
      <family val="1"/>
    </font>
    <font>
      <sz val="10"/>
      <name val="Times New Roman"/>
      <family val="1"/>
    </font>
    <font>
      <b/>
      <sz val="13"/>
      <name val="Times New Roman"/>
      <family val="1"/>
    </font>
    <font>
      <i/>
      <sz val="12"/>
      <name val="Times New Roman"/>
      <family val="1"/>
    </font>
    <font>
      <i/>
      <sz val="10"/>
      <name val="Times New Roman"/>
      <family val="1"/>
    </font>
    <font>
      <sz val="14"/>
      <color theme="1"/>
      <name val="Times New Roman"/>
      <family val="1"/>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00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auto="1"/>
      </left>
      <right/>
      <top/>
      <bottom/>
      <diagonal/>
    </border>
    <border>
      <left style="thin">
        <color auto="1"/>
      </left>
      <right/>
      <top/>
      <bottom style="thin">
        <color auto="1"/>
      </bottom>
      <diagonal/>
    </border>
  </borders>
  <cellStyleXfs count="3">
    <xf numFmtId="0" fontId="0" fillId="0" borderId="0"/>
    <xf numFmtId="43" fontId="1" fillId="0" borderId="0" applyFont="0" applyFill="0" applyBorder="0" applyAlignment="0" applyProtection="0"/>
    <xf numFmtId="0" fontId="5" fillId="0" borderId="0"/>
  </cellStyleXfs>
  <cellXfs count="145">
    <xf numFmtId="0" fontId="0" fillId="0" borderId="0" xfId="0"/>
    <xf numFmtId="0" fontId="2" fillId="0" borderId="0" xfId="0" applyFont="1"/>
    <xf numFmtId="0" fontId="2" fillId="0" borderId="1" xfId="0" applyFont="1" applyBorder="1"/>
    <xf numFmtId="0" fontId="2" fillId="0" borderId="0" xfId="0" applyFont="1" applyAlignment="1">
      <alignment horizontal="center" vertical="center"/>
    </xf>
    <xf numFmtId="0" fontId="4" fillId="0" borderId="1" xfId="0" applyFont="1" applyBorder="1"/>
    <xf numFmtId="0" fontId="4" fillId="0" borderId="1" xfId="0" applyFont="1" applyBorder="1" applyAlignment="1">
      <alignment wrapText="1"/>
    </xf>
    <xf numFmtId="0" fontId="4" fillId="0" borderId="0" xfId="0" applyFont="1"/>
    <xf numFmtId="164" fontId="4" fillId="0" borderId="1" xfId="0" applyNumberFormat="1" applyFont="1" applyBorder="1"/>
    <xf numFmtId="164" fontId="2" fillId="0" borderId="1" xfId="0" applyNumberFormat="1" applyFont="1" applyBorder="1" applyAlignment="1">
      <alignment vertical="center"/>
    </xf>
    <xf numFmtId="164" fontId="4" fillId="0" borderId="1" xfId="1" applyNumberFormat="1" applyFont="1" applyBorder="1"/>
    <xf numFmtId="164" fontId="2" fillId="0" borderId="1" xfId="1" applyNumberFormat="1" applyFont="1" applyBorder="1" applyAlignment="1">
      <alignment vertical="center"/>
    </xf>
    <xf numFmtId="0" fontId="2" fillId="0" borderId="1" xfId="0" applyFont="1" applyBorder="1" applyAlignment="1">
      <alignment horizontal="center" vertical="center" wrapText="1"/>
    </xf>
    <xf numFmtId="3" fontId="6" fillId="0" borderId="1" xfId="2"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3" fontId="6" fillId="2" borderId="1" xfId="2"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3" fontId="7" fillId="0" borderId="1" xfId="2"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3" fontId="8" fillId="0" borderId="1" xfId="2"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3" fontId="8" fillId="2" borderId="1" xfId="2" applyNumberFormat="1" applyFont="1" applyFill="1" applyBorder="1" applyAlignment="1">
      <alignment horizontal="center" vertical="center" wrapText="1"/>
    </xf>
    <xf numFmtId="0" fontId="2" fillId="0" borderId="1" xfId="0" applyFont="1" applyBorder="1" applyAlignment="1">
      <alignment wrapText="1"/>
    </xf>
    <xf numFmtId="0" fontId="10" fillId="0" borderId="0" xfId="0" applyFont="1"/>
    <xf numFmtId="165" fontId="8" fillId="0" borderId="1" xfId="2" applyNumberFormat="1" applyFont="1" applyBorder="1" applyAlignment="1">
      <alignment horizontal="center" vertical="center" wrapText="1"/>
    </xf>
    <xf numFmtId="164" fontId="4" fillId="0" borderId="1" xfId="1" applyNumberFormat="1" applyFont="1" applyBorder="1" applyAlignment="1">
      <alignment horizontal="center" vertical="center"/>
    </xf>
    <xf numFmtId="3" fontId="6" fillId="0" borderId="1" xfId="2" applyNumberFormat="1" applyFont="1" applyFill="1" applyBorder="1" applyAlignment="1">
      <alignment horizontal="center" vertical="center" wrapText="1"/>
    </xf>
    <xf numFmtId="3" fontId="6" fillId="0" borderId="1" xfId="2" applyNumberFormat="1" applyFont="1" applyBorder="1" applyAlignment="1">
      <alignment vertical="center" wrapText="1"/>
    </xf>
    <xf numFmtId="165" fontId="7" fillId="0" borderId="1" xfId="2" applyNumberFormat="1" applyFont="1" applyBorder="1" applyAlignment="1">
      <alignment horizontal="center" vertical="center" wrapText="1"/>
    </xf>
    <xf numFmtId="164" fontId="2" fillId="0" borderId="1" xfId="1" applyNumberFormat="1" applyFont="1" applyBorder="1" applyAlignment="1">
      <alignment horizontal="center" vertical="center"/>
    </xf>
    <xf numFmtId="0" fontId="2" fillId="0" borderId="6" xfId="0" applyFont="1" applyBorder="1" applyAlignment="1">
      <alignment horizontal="center" vertical="center"/>
    </xf>
    <xf numFmtId="164" fontId="2" fillId="0" borderId="0" xfId="0" applyNumberFormat="1" applyFont="1"/>
    <xf numFmtId="0" fontId="12" fillId="0" borderId="0" xfId="0" applyFont="1"/>
    <xf numFmtId="0" fontId="11" fillId="0" borderId="0" xfId="0" applyFont="1" applyAlignment="1">
      <alignment horizontal="center" vertical="center"/>
    </xf>
    <xf numFmtId="0" fontId="11" fillId="0" borderId="0" xfId="0" applyFont="1" applyAlignment="1">
      <alignment horizontal="center"/>
    </xf>
    <xf numFmtId="0" fontId="15" fillId="0" borderId="0" xfId="0" applyFont="1" applyAlignment="1">
      <alignment horizontal="center" vertical="center" wrapText="1"/>
    </xf>
    <xf numFmtId="0" fontId="15" fillId="0" borderId="0" xfId="0" applyFont="1" applyAlignment="1">
      <alignment horizontal="left" vertical="center" wrapText="1"/>
    </xf>
    <xf numFmtId="0" fontId="12" fillId="0" borderId="0" xfId="0" applyFont="1" applyAlignment="1">
      <alignment horizontal="center" vertical="center"/>
    </xf>
    <xf numFmtId="0" fontId="12" fillId="0" borderId="0" xfId="0" applyFont="1" applyAlignment="1">
      <alignment horizontal="left"/>
    </xf>
    <xf numFmtId="0" fontId="3" fillId="0" borderId="0" xfId="0" applyFont="1" applyAlignment="1">
      <alignment horizontal="center" vertical="center"/>
    </xf>
    <xf numFmtId="0" fontId="9" fillId="0" borderId="0" xfId="0" applyFont="1"/>
    <xf numFmtId="3" fontId="6" fillId="0" borderId="5" xfId="2" applyNumberFormat="1" applyFont="1" applyFill="1" applyBorder="1" applyAlignment="1">
      <alignment horizontal="center" vertical="center" wrapText="1"/>
    </xf>
    <xf numFmtId="3" fontId="8" fillId="0" borderId="1" xfId="2" applyNumberFormat="1"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left" vertical="center" wrapText="1"/>
    </xf>
    <xf numFmtId="3" fontId="6" fillId="0" borderId="2" xfId="2" applyNumberFormat="1" applyFont="1" applyBorder="1" applyAlignment="1">
      <alignment horizontal="center" vertical="center" wrapText="1"/>
    </xf>
    <xf numFmtId="0" fontId="6" fillId="0" borderId="1" xfId="0" applyFont="1" applyBorder="1" applyAlignment="1">
      <alignment horizontal="center" vertical="center"/>
    </xf>
    <xf numFmtId="0" fontId="6" fillId="0" borderId="5" xfId="0" applyFont="1" applyBorder="1" applyAlignment="1">
      <alignment horizontal="center" vertical="center"/>
    </xf>
    <xf numFmtId="164" fontId="6" fillId="0" borderId="1" xfId="0" applyNumberFormat="1" applyFont="1" applyBorder="1" applyAlignment="1">
      <alignment horizontal="left" vertical="center" wrapText="1"/>
    </xf>
    <xf numFmtId="0" fontId="7" fillId="0" borderId="2" xfId="0" applyFont="1" applyBorder="1" applyAlignment="1">
      <alignment horizontal="left" vertical="center" wrapText="1"/>
    </xf>
    <xf numFmtId="3" fontId="7" fillId="0" borderId="2" xfId="2" applyNumberFormat="1" applyFont="1" applyBorder="1" applyAlignment="1">
      <alignment horizontal="center" vertical="center" wrapText="1"/>
    </xf>
    <xf numFmtId="0" fontId="7" fillId="0" borderId="1" xfId="0" applyFont="1" applyBorder="1" applyAlignment="1">
      <alignment horizontal="center" vertical="center"/>
    </xf>
    <xf numFmtId="0" fontId="7" fillId="0" borderId="5" xfId="0" applyFont="1" applyBorder="1" applyAlignment="1">
      <alignment horizontal="center" vertical="center"/>
    </xf>
    <xf numFmtId="164" fontId="7" fillId="0" borderId="1" xfId="0" applyNumberFormat="1" applyFont="1" applyBorder="1" applyAlignment="1">
      <alignment horizontal="left" vertical="center" wrapText="1"/>
    </xf>
    <xf numFmtId="0" fontId="8" fillId="0" borderId="0" xfId="0" applyFont="1"/>
    <xf numFmtId="0" fontId="9" fillId="0" borderId="2" xfId="0" applyFont="1" applyBorder="1" applyAlignment="1">
      <alignment horizontal="left" vertical="center" wrapText="1"/>
    </xf>
    <xf numFmtId="3" fontId="9" fillId="0" borderId="2" xfId="2" applyNumberFormat="1" applyFont="1" applyBorder="1" applyAlignment="1">
      <alignment horizontal="center" vertical="center" wrapText="1"/>
    </xf>
    <xf numFmtId="0" fontId="9" fillId="0" borderId="1" xfId="0" applyFont="1" applyBorder="1" applyAlignment="1">
      <alignment horizontal="center" vertical="center"/>
    </xf>
    <xf numFmtId="164" fontId="9" fillId="0" borderId="1" xfId="0" applyNumberFormat="1" applyFont="1" applyBorder="1" applyAlignment="1">
      <alignment horizontal="left" vertical="center" wrapText="1"/>
    </xf>
    <xf numFmtId="164" fontId="9" fillId="0" borderId="1" xfId="0" applyNumberFormat="1" applyFont="1" applyBorder="1" applyAlignment="1">
      <alignment vertical="center"/>
    </xf>
    <xf numFmtId="164" fontId="7" fillId="0" borderId="1" xfId="0" applyNumberFormat="1" applyFont="1" applyBorder="1"/>
    <xf numFmtId="0" fontId="7" fillId="0" borderId="0" xfId="0" applyFont="1"/>
    <xf numFmtId="0" fontId="9" fillId="0" borderId="1" xfId="0" applyFont="1" applyBorder="1" applyAlignment="1">
      <alignment horizontal="center" vertical="center"/>
    </xf>
    <xf numFmtId="164" fontId="6" fillId="0" borderId="1" xfId="0" applyNumberFormat="1" applyFont="1" applyBorder="1" applyAlignment="1">
      <alignment vertical="center"/>
    </xf>
    <xf numFmtId="0" fontId="6" fillId="0" borderId="0" xfId="0" applyFont="1"/>
    <xf numFmtId="164" fontId="6" fillId="0" borderId="1" xfId="1" applyNumberFormat="1" applyFont="1" applyBorder="1" applyAlignment="1">
      <alignment horizontal="center" vertical="center"/>
    </xf>
    <xf numFmtId="0" fontId="8" fillId="0" borderId="1" xfId="0" applyFont="1" applyBorder="1" applyAlignment="1">
      <alignment horizontal="center" vertical="center"/>
    </xf>
    <xf numFmtId="164" fontId="8" fillId="0" borderId="1" xfId="1" applyNumberFormat="1" applyFont="1" applyBorder="1" applyAlignment="1">
      <alignment horizontal="center" vertical="center"/>
    </xf>
    <xf numFmtId="3" fontId="7" fillId="2" borderId="1" xfId="2" applyNumberFormat="1" applyFont="1" applyFill="1" applyBorder="1" applyAlignment="1">
      <alignment horizontal="center" vertical="center" wrapText="1"/>
    </xf>
    <xf numFmtId="164" fontId="8" fillId="0" borderId="1" xfId="0" applyNumberFormat="1" applyFont="1" applyBorder="1"/>
    <xf numFmtId="164" fontId="9" fillId="0" borderId="1" xfId="1" applyNumberFormat="1" applyFont="1" applyBorder="1" applyAlignment="1">
      <alignment horizontal="center" vertical="center"/>
    </xf>
    <xf numFmtId="164" fontId="9" fillId="0" borderId="1" xfId="0" applyNumberFormat="1" applyFont="1" applyBorder="1"/>
    <xf numFmtId="164" fontId="7" fillId="0" borderId="1" xfId="1" applyNumberFormat="1" applyFont="1" applyBorder="1" applyAlignment="1">
      <alignment horizontal="center" vertical="center"/>
    </xf>
    <xf numFmtId="164" fontId="7" fillId="0" borderId="1" xfId="0" applyNumberFormat="1" applyFont="1" applyBorder="1" applyAlignment="1">
      <alignment vertical="center"/>
    </xf>
    <xf numFmtId="0" fontId="6" fillId="0" borderId="5" xfId="0" applyFont="1" applyBorder="1" applyAlignment="1">
      <alignment horizontal="left" vertical="center" wrapText="1"/>
    </xf>
    <xf numFmtId="3" fontId="7" fillId="0" borderId="5" xfId="2" applyNumberFormat="1" applyFont="1" applyBorder="1" applyAlignment="1">
      <alignment horizontal="center" vertical="center" wrapText="1"/>
    </xf>
    <xf numFmtId="164" fontId="6" fillId="0" borderId="5" xfId="1" applyNumberFormat="1" applyFont="1" applyBorder="1" applyAlignment="1">
      <alignment horizontal="center" vertical="center"/>
    </xf>
    <xf numFmtId="0" fontId="6" fillId="0" borderId="1" xfId="0" applyFont="1" applyBorder="1" applyAlignment="1">
      <alignment horizontal="center" vertical="center"/>
    </xf>
    <xf numFmtId="3" fontId="6" fillId="0" borderId="1" xfId="0" applyNumberFormat="1" applyFont="1" applyBorder="1" applyAlignment="1">
      <alignment vertical="center"/>
    </xf>
    <xf numFmtId="0" fontId="6" fillId="0" borderId="0" xfId="0" applyFont="1" applyBorder="1"/>
    <xf numFmtId="0" fontId="0" fillId="0" borderId="0" xfId="0" applyAlignment="1">
      <alignment horizontal="center"/>
    </xf>
    <xf numFmtId="0" fontId="2" fillId="3" borderId="2" xfId="0" applyFont="1" applyFill="1" applyBorder="1" applyAlignment="1">
      <alignment vertical="center" wrapText="1"/>
    </xf>
    <xf numFmtId="3" fontId="2" fillId="3" borderId="1" xfId="0" applyNumberFormat="1" applyFont="1" applyFill="1" applyBorder="1" applyAlignment="1">
      <alignment horizontal="center" vertical="center"/>
    </xf>
    <xf numFmtId="3" fontId="2" fillId="3" borderId="1" xfId="0" applyNumberFormat="1" applyFont="1" applyFill="1" applyBorder="1" applyAlignment="1">
      <alignment vertical="center"/>
    </xf>
    <xf numFmtId="0" fontId="2" fillId="3" borderId="1" xfId="0" applyFont="1" applyFill="1" applyBorder="1" applyAlignment="1">
      <alignment vertical="center"/>
    </xf>
    <xf numFmtId="164" fontId="2" fillId="3" borderId="1" xfId="0" applyNumberFormat="1" applyFont="1" applyFill="1" applyBorder="1" applyAlignment="1">
      <alignment vertical="center"/>
    </xf>
    <xf numFmtId="0" fontId="2"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4" borderId="1" xfId="0" applyFont="1" applyFill="1" applyBorder="1" applyAlignment="1">
      <alignment horizontal="center" vertical="center"/>
    </xf>
    <xf numFmtId="164" fontId="2" fillId="4" borderId="1" xfId="0" applyNumberFormat="1" applyFont="1" applyFill="1" applyBorder="1" applyAlignment="1">
      <alignment horizontal="center" vertical="center"/>
    </xf>
    <xf numFmtId="0" fontId="4" fillId="0" borderId="1" xfId="0" applyFont="1" applyBorder="1" applyAlignment="1">
      <alignment horizontal="center"/>
    </xf>
    <xf numFmtId="0" fontId="2" fillId="4" borderId="1" xfId="0" applyFont="1" applyFill="1" applyBorder="1"/>
    <xf numFmtId="0" fontId="2" fillId="4" borderId="1" xfId="0" applyFont="1" applyFill="1" applyBorder="1" applyAlignment="1">
      <alignment wrapText="1"/>
    </xf>
    <xf numFmtId="3" fontId="6" fillId="4" borderId="1" xfId="2" applyNumberFormat="1" applyFont="1" applyFill="1" applyBorder="1" applyAlignment="1">
      <alignment horizontal="center" vertical="center" wrapText="1"/>
    </xf>
    <xf numFmtId="3" fontId="6" fillId="4" borderId="1" xfId="2" applyNumberFormat="1" applyFont="1" applyFill="1" applyBorder="1" applyAlignment="1">
      <alignment horizontal="right" vertical="center" wrapText="1"/>
    </xf>
    <xf numFmtId="3" fontId="9" fillId="0" borderId="1" xfId="2" applyNumberFormat="1" applyFont="1" applyBorder="1" applyAlignment="1">
      <alignment horizontal="center" vertical="center" wrapText="1"/>
    </xf>
    <xf numFmtId="164" fontId="4" fillId="0" borderId="1" xfId="0" applyNumberFormat="1" applyFont="1" applyBorder="1" applyAlignment="1">
      <alignment vertical="center"/>
    </xf>
    <xf numFmtId="165" fontId="9" fillId="0" borderId="1" xfId="2" applyNumberFormat="1" applyFont="1" applyBorder="1" applyAlignment="1">
      <alignment horizontal="center" vertical="center" wrapText="1"/>
    </xf>
    <xf numFmtId="165" fontId="6" fillId="0" borderId="1" xfId="2" applyNumberFormat="1" applyFont="1" applyBorder="1" applyAlignment="1">
      <alignment horizontal="center" vertical="center" wrapText="1"/>
    </xf>
    <xf numFmtId="3" fontId="9" fillId="0" borderId="1" xfId="2" applyNumberFormat="1" applyFont="1" applyBorder="1" applyAlignment="1">
      <alignment vertical="center" wrapText="1"/>
    </xf>
    <xf numFmtId="164" fontId="4" fillId="0" borderId="1" xfId="1" applyNumberFormat="1" applyFont="1" applyBorder="1" applyAlignment="1">
      <alignment vertical="center"/>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0" fillId="4" borderId="1" xfId="0" applyFill="1" applyBorder="1"/>
    <xf numFmtId="164" fontId="2" fillId="4" borderId="1" xfId="1" applyNumberFormat="1" applyFont="1" applyFill="1" applyBorder="1"/>
    <xf numFmtId="164" fontId="2" fillId="4" borderId="1" xfId="1" applyNumberFormat="1" applyFont="1" applyFill="1" applyBorder="1" applyAlignment="1">
      <alignment vertical="center"/>
    </xf>
    <xf numFmtId="164" fontId="2" fillId="4" borderId="1" xfId="1" applyNumberFormat="1" applyFont="1" applyFill="1" applyBorder="1" applyAlignment="1">
      <alignment horizontal="center" vertical="center"/>
    </xf>
    <xf numFmtId="164" fontId="4" fillId="0" borderId="1" xfId="1" applyNumberFormat="1" applyFont="1" applyBorder="1" applyAlignment="1">
      <alignment horizont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1" xfId="0" applyFont="1" applyBorder="1" applyAlignment="1">
      <alignment horizontal="center" vertical="center"/>
    </xf>
    <xf numFmtId="0" fontId="6" fillId="0" borderId="1" xfId="0" applyFont="1" applyBorder="1" applyAlignment="1">
      <alignment horizontal="center" vertical="center"/>
    </xf>
    <xf numFmtId="0" fontId="11" fillId="0" borderId="0" xfId="0" applyFont="1" applyAlignment="1">
      <alignment horizontal="center" vertical="center"/>
    </xf>
    <xf numFmtId="0" fontId="13" fillId="0" borderId="0" xfId="0" applyFont="1" applyAlignment="1">
      <alignment horizontal="center" vertical="top" wrapText="1"/>
    </xf>
    <xf numFmtId="0" fontId="14" fillId="0" borderId="0" xfId="0" applyFont="1" applyAlignment="1">
      <alignment horizontal="center" vertical="top"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3" fontId="6" fillId="0" borderId="5" xfId="2" applyNumberFormat="1" applyFont="1" applyBorder="1" applyAlignment="1">
      <alignment horizontal="center" vertical="center" wrapText="1"/>
    </xf>
    <xf numFmtId="3" fontId="6" fillId="0" borderId="7" xfId="2" applyNumberFormat="1" applyFont="1" applyBorder="1" applyAlignment="1">
      <alignment horizontal="center" vertical="center" wrapText="1"/>
    </xf>
    <xf numFmtId="3" fontId="6" fillId="0" borderId="6" xfId="2" applyNumberFormat="1" applyFont="1" applyBorder="1" applyAlignment="1">
      <alignment horizontal="center" vertical="center" wrapText="1"/>
    </xf>
    <xf numFmtId="3" fontId="6" fillId="0" borderId="2" xfId="2" applyNumberFormat="1" applyFont="1" applyFill="1" applyBorder="1" applyAlignment="1">
      <alignment horizontal="center" vertical="center" wrapText="1"/>
    </xf>
    <xf numFmtId="3" fontId="6" fillId="0" borderId="3" xfId="2" applyNumberFormat="1" applyFont="1" applyFill="1" applyBorder="1" applyAlignment="1">
      <alignment horizontal="center" vertical="center" wrapText="1"/>
    </xf>
    <xf numFmtId="3" fontId="6" fillId="0" borderId="4" xfId="2" applyNumberFormat="1" applyFont="1" applyFill="1" applyBorder="1" applyAlignment="1">
      <alignment horizontal="center" vertical="center" wrapText="1"/>
    </xf>
    <xf numFmtId="3" fontId="6" fillId="0" borderId="5" xfId="2" applyNumberFormat="1" applyFont="1" applyFill="1" applyBorder="1" applyAlignment="1">
      <alignment horizontal="center" vertical="center" wrapText="1"/>
    </xf>
    <xf numFmtId="3" fontId="6" fillId="0" borderId="6" xfId="2" applyNumberFormat="1" applyFont="1" applyFill="1" applyBorder="1" applyAlignment="1">
      <alignment horizontal="center" vertical="center" wrapText="1"/>
    </xf>
    <xf numFmtId="164" fontId="4" fillId="0" borderId="2" xfId="1" applyNumberFormat="1" applyFont="1" applyBorder="1" applyAlignment="1">
      <alignment horizontal="center" vertical="center"/>
    </xf>
    <xf numFmtId="164" fontId="4" fillId="0" borderId="3" xfId="1" applyNumberFormat="1" applyFont="1" applyBorder="1" applyAlignment="1">
      <alignment horizontal="center" vertical="center"/>
    </xf>
    <xf numFmtId="164" fontId="4" fillId="0" borderId="4" xfId="1" applyNumberFormat="1" applyFont="1" applyBorder="1" applyAlignment="1">
      <alignment horizontal="center" vertical="center"/>
    </xf>
    <xf numFmtId="0" fontId="3" fillId="0" borderId="0" xfId="0" applyFont="1" applyAlignment="1">
      <alignment horizontal="center" vertical="center" wrapText="1"/>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6" fillId="0" borderId="0" xfId="0" applyFont="1"/>
    <xf numFmtId="0" fontId="2" fillId="0" borderId="0" xfId="0" applyFont="1" applyAlignment="1">
      <alignment horizontal="center" vertical="center" wrapText="1"/>
    </xf>
  </cellXfs>
  <cellStyles count="3">
    <cellStyle name="Comma" xfId="1" builtinId="3"/>
    <cellStyle name="Normal" xfId="0" builtinId="0"/>
    <cellStyle name="Normal_070709 Mau bieu tong hop doi tuong bao tro xa hoi" xfId="2" xr:uid="{B8D54BEC-584D-4536-ADD8-3B86D94B8C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1562100</xdr:colOff>
      <xdr:row>3</xdr:row>
      <xdr:rowOff>228600</xdr:rowOff>
    </xdr:from>
    <xdr:to>
      <xdr:col>5</xdr:col>
      <xdr:colOff>85725</xdr:colOff>
      <xdr:row>3</xdr:row>
      <xdr:rowOff>228600</xdr:rowOff>
    </xdr:to>
    <xdr:cxnSp macro="">
      <xdr:nvCxnSpPr>
        <xdr:cNvPr id="2" name="Straight Connector 1">
          <a:extLst>
            <a:ext uri="{FF2B5EF4-FFF2-40B4-BE49-F238E27FC236}">
              <a16:creationId xmlns:a16="http://schemas.microsoft.com/office/drawing/2014/main" id="{18124453-7BE6-4330-A35F-A961C343FCC4}"/>
            </a:ext>
          </a:extLst>
        </xdr:cNvPr>
        <xdr:cNvCxnSpPr/>
      </xdr:nvCxnSpPr>
      <xdr:spPr>
        <a:xfrm>
          <a:off x="1971675" y="1171575"/>
          <a:ext cx="231457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1562100</xdr:colOff>
      <xdr:row>3</xdr:row>
      <xdr:rowOff>228600</xdr:rowOff>
    </xdr:from>
    <xdr:to>
      <xdr:col>5</xdr:col>
      <xdr:colOff>85725</xdr:colOff>
      <xdr:row>3</xdr:row>
      <xdr:rowOff>228600</xdr:rowOff>
    </xdr:to>
    <xdr:cxnSp macro="">
      <xdr:nvCxnSpPr>
        <xdr:cNvPr id="2" name="Straight Connector 1">
          <a:extLst>
            <a:ext uri="{FF2B5EF4-FFF2-40B4-BE49-F238E27FC236}">
              <a16:creationId xmlns:a16="http://schemas.microsoft.com/office/drawing/2014/main" id="{2638A609-9835-4F62-A63B-87082195DF71}"/>
            </a:ext>
          </a:extLst>
        </xdr:cNvPr>
        <xdr:cNvCxnSpPr/>
      </xdr:nvCxnSpPr>
      <xdr:spPr>
        <a:xfrm>
          <a:off x="1971675" y="1247775"/>
          <a:ext cx="221932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2571750</xdr:colOff>
      <xdr:row>2</xdr:row>
      <xdr:rowOff>314325</xdr:rowOff>
    </xdr:from>
    <xdr:to>
      <xdr:col>4</xdr:col>
      <xdr:colOff>247650</xdr:colOff>
      <xdr:row>2</xdr:row>
      <xdr:rowOff>314325</xdr:rowOff>
    </xdr:to>
    <xdr:cxnSp macro="">
      <xdr:nvCxnSpPr>
        <xdr:cNvPr id="2" name="Straight Connector 1">
          <a:extLst>
            <a:ext uri="{FF2B5EF4-FFF2-40B4-BE49-F238E27FC236}">
              <a16:creationId xmlns:a16="http://schemas.microsoft.com/office/drawing/2014/main" id="{C3079D35-7928-4F2F-BDCA-B0753D9CC0A1}"/>
            </a:ext>
          </a:extLst>
        </xdr:cNvPr>
        <xdr:cNvCxnSpPr/>
      </xdr:nvCxnSpPr>
      <xdr:spPr>
        <a:xfrm>
          <a:off x="2914650" y="1152525"/>
          <a:ext cx="30670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B71BA-2455-43F3-8BAB-90E39151FEBA}">
  <dimension ref="B1:I39"/>
  <sheetViews>
    <sheetView topLeftCell="A34" workbookViewId="0">
      <selection activeCell="F13" sqref="F13"/>
    </sheetView>
  </sheetViews>
  <sheetFormatPr defaultColWidth="9" defaultRowHeight="12.75" x14ac:dyDescent="0.2"/>
  <cols>
    <col min="1" max="1" width="1.85546875" style="35" customWidth="1"/>
    <col min="2" max="2" width="4.28515625" style="40" customWidth="1"/>
    <col min="3" max="3" width="38" style="41" customWidth="1"/>
    <col min="4" max="4" width="9.85546875" style="35" customWidth="1"/>
    <col min="5" max="5" width="7.5703125" style="35" customWidth="1"/>
    <col min="6" max="6" width="10" style="35" customWidth="1"/>
    <col min="7" max="7" width="13.5703125" style="35" customWidth="1"/>
    <col min="8" max="8" width="16.5703125" style="35" customWidth="1"/>
    <col min="9" max="9" width="10" style="35" bestFit="1" customWidth="1"/>
    <col min="10" max="10" width="12.28515625" style="35" bestFit="1" customWidth="1"/>
    <col min="11" max="16384" width="9" style="35"/>
  </cols>
  <sheetData>
    <row r="1" spans="2:9" x14ac:dyDescent="0.2">
      <c r="B1" s="115" t="s">
        <v>36</v>
      </c>
      <c r="C1" s="115"/>
      <c r="D1" s="115"/>
      <c r="E1" s="115"/>
      <c r="F1" s="115"/>
      <c r="G1" s="115"/>
      <c r="H1" s="115"/>
    </row>
    <row r="2" spans="2:9" x14ac:dyDescent="0.2">
      <c r="B2" s="36"/>
      <c r="C2" s="36"/>
      <c r="D2" s="37"/>
    </row>
    <row r="3" spans="2:9" ht="57" customHeight="1" x14ac:dyDescent="0.2">
      <c r="B3" s="116" t="s">
        <v>54</v>
      </c>
      <c r="C3" s="116"/>
      <c r="D3" s="116"/>
      <c r="E3" s="116"/>
      <c r="F3" s="116"/>
      <c r="G3" s="116"/>
      <c r="H3" s="116"/>
    </row>
    <row r="4" spans="2:9" ht="15.75" x14ac:dyDescent="0.2">
      <c r="B4" s="117" t="s">
        <v>37</v>
      </c>
      <c r="C4" s="117"/>
      <c r="D4" s="117"/>
      <c r="E4" s="117"/>
      <c r="F4" s="117"/>
      <c r="G4" s="117"/>
      <c r="H4" s="117"/>
    </row>
    <row r="5" spans="2:9" x14ac:dyDescent="0.2">
      <c r="B5" s="38"/>
      <c r="C5" s="39"/>
      <c r="D5" s="38"/>
    </row>
    <row r="6" spans="2:9" s="43" customFormat="1" ht="30" customHeight="1" x14ac:dyDescent="0.25">
      <c r="B6" s="118" t="s">
        <v>38</v>
      </c>
      <c r="C6" s="120" t="s">
        <v>39</v>
      </c>
      <c r="D6" s="123" t="s">
        <v>40</v>
      </c>
      <c r="E6" s="126" t="s">
        <v>41</v>
      </c>
      <c r="F6" s="127"/>
      <c r="G6" s="127"/>
      <c r="H6" s="128"/>
      <c r="I6" s="42"/>
    </row>
    <row r="7" spans="2:9" s="43" customFormat="1" ht="57" x14ac:dyDescent="0.25">
      <c r="B7" s="119"/>
      <c r="C7" s="121"/>
      <c r="D7" s="124"/>
      <c r="E7" s="129" t="s">
        <v>25</v>
      </c>
      <c r="F7" s="44" t="s">
        <v>26</v>
      </c>
      <c r="G7" s="29" t="s">
        <v>52</v>
      </c>
      <c r="H7" s="29" t="s">
        <v>53</v>
      </c>
    </row>
    <row r="8" spans="2:9" s="43" customFormat="1" ht="15" x14ac:dyDescent="0.25">
      <c r="B8" s="119"/>
      <c r="C8" s="122"/>
      <c r="D8" s="125"/>
      <c r="E8" s="130"/>
      <c r="F8" s="45" t="s">
        <v>42</v>
      </c>
      <c r="G8" s="45" t="s">
        <v>42</v>
      </c>
      <c r="H8" s="45" t="s">
        <v>42</v>
      </c>
    </row>
    <row r="9" spans="2:9" s="43" customFormat="1" ht="37.5" customHeight="1" x14ac:dyDescent="0.25">
      <c r="B9" s="46" t="s">
        <v>7</v>
      </c>
      <c r="C9" s="47" t="s">
        <v>43</v>
      </c>
      <c r="D9" s="48">
        <f>D10</f>
        <v>1051</v>
      </c>
      <c r="E9" s="49"/>
      <c r="F9" s="50"/>
      <c r="G9" s="51">
        <f>G10+G14</f>
        <v>21315000</v>
      </c>
      <c r="H9" s="51">
        <f>H10+H14</f>
        <v>32757600</v>
      </c>
    </row>
    <row r="10" spans="2:9" s="57" customFormat="1" ht="27" customHeight="1" x14ac:dyDescent="0.25">
      <c r="B10" s="16">
        <v>1</v>
      </c>
      <c r="C10" s="52" t="s">
        <v>44</v>
      </c>
      <c r="D10" s="53">
        <v>1051</v>
      </c>
      <c r="E10" s="54"/>
      <c r="F10" s="55"/>
      <c r="G10" s="56">
        <f>G11+G12</f>
        <v>21040000</v>
      </c>
      <c r="H10" s="56">
        <f>H11+H12</f>
        <v>32401600</v>
      </c>
    </row>
    <row r="11" spans="2:9" s="43" customFormat="1" ht="27" customHeight="1" x14ac:dyDescent="0.25">
      <c r="B11" s="22"/>
      <c r="C11" s="58" t="s">
        <v>45</v>
      </c>
      <c r="D11" s="59">
        <v>1</v>
      </c>
      <c r="E11" s="60">
        <v>10</v>
      </c>
      <c r="F11" s="111">
        <v>500</v>
      </c>
      <c r="G11" s="61">
        <f>D11*E11*F11*8</f>
        <v>40000</v>
      </c>
      <c r="H11" s="62">
        <f>G11+D11*E11*540*4</f>
        <v>61600</v>
      </c>
    </row>
    <row r="12" spans="2:9" s="43" customFormat="1" ht="27" customHeight="1" x14ac:dyDescent="0.25">
      <c r="B12" s="22"/>
      <c r="C12" s="58" t="s">
        <v>46</v>
      </c>
      <c r="D12" s="59">
        <f>330+380+340</f>
        <v>1050</v>
      </c>
      <c r="E12" s="60">
        <v>5</v>
      </c>
      <c r="F12" s="112"/>
      <c r="G12" s="61">
        <f>D12*E12*F11*8</f>
        <v>21000000</v>
      </c>
      <c r="H12" s="62">
        <f>G12+D12*E12*540*4</f>
        <v>32340000</v>
      </c>
    </row>
    <row r="13" spans="2:9" s="64" customFormat="1" ht="27" customHeight="1" x14ac:dyDescent="0.25">
      <c r="B13" s="16">
        <v>2</v>
      </c>
      <c r="C13" s="52" t="s">
        <v>47</v>
      </c>
      <c r="D13" s="53">
        <f>331+380+340</f>
        <v>1051</v>
      </c>
      <c r="E13" s="54"/>
      <c r="F13" s="55">
        <v>150</v>
      </c>
      <c r="G13" s="56">
        <f>D13*F13*10</f>
        <v>1576500</v>
      </c>
      <c r="H13" s="63">
        <f>D13*F13*11</f>
        <v>1734150</v>
      </c>
    </row>
    <row r="14" spans="2:9" s="64" customFormat="1" ht="27" customHeight="1" x14ac:dyDescent="0.25">
      <c r="B14" s="16">
        <v>3</v>
      </c>
      <c r="C14" s="52" t="s">
        <v>8</v>
      </c>
      <c r="D14" s="53">
        <v>11</v>
      </c>
      <c r="E14" s="54"/>
      <c r="F14" s="55"/>
      <c r="G14" s="56">
        <f>G15+G16</f>
        <v>275000</v>
      </c>
      <c r="H14" s="56">
        <f>H15+H16</f>
        <v>356000</v>
      </c>
    </row>
    <row r="15" spans="2:9" s="43" customFormat="1" ht="27" customHeight="1" x14ac:dyDescent="0.25">
      <c r="B15" s="22"/>
      <c r="C15" s="58" t="s">
        <v>48</v>
      </c>
      <c r="D15" s="59">
        <v>0</v>
      </c>
      <c r="E15" s="60">
        <v>70</v>
      </c>
      <c r="F15" s="113">
        <v>500</v>
      </c>
      <c r="G15" s="61">
        <f>D15*E15*F15</f>
        <v>0</v>
      </c>
      <c r="H15" s="63">
        <f t="shared" ref="H15" si="0">G15*7</f>
        <v>0</v>
      </c>
    </row>
    <row r="16" spans="2:9" s="43" customFormat="1" ht="27" customHeight="1" x14ac:dyDescent="0.25">
      <c r="B16" s="22"/>
      <c r="C16" s="58" t="s">
        <v>10</v>
      </c>
      <c r="D16" s="59">
        <v>11</v>
      </c>
      <c r="E16" s="60">
        <v>50</v>
      </c>
      <c r="F16" s="113"/>
      <c r="G16" s="61">
        <f>11*50*500</f>
        <v>275000</v>
      </c>
      <c r="H16" s="63">
        <f>G16+(3*E16*540)</f>
        <v>356000</v>
      </c>
    </row>
    <row r="17" spans="2:8" s="67" customFormat="1" ht="27" customHeight="1" x14ac:dyDescent="0.2">
      <c r="B17" s="13" t="s">
        <v>11</v>
      </c>
      <c r="C17" s="14" t="s">
        <v>49</v>
      </c>
      <c r="D17" s="12">
        <f>D18+D21+D30+D33+D34+D37</f>
        <v>26603</v>
      </c>
      <c r="E17" s="12"/>
      <c r="F17" s="12"/>
      <c r="G17" s="30">
        <f>G18+G21+G30+G33+G34+G37</f>
        <v>250522000</v>
      </c>
      <c r="H17" s="30">
        <f>H18+H21+H30+H33+H34+H37</f>
        <v>365478700</v>
      </c>
    </row>
    <row r="18" spans="2:8" s="67" customFormat="1" ht="51" customHeight="1" x14ac:dyDescent="0.2">
      <c r="B18" s="13">
        <v>1</v>
      </c>
      <c r="C18" s="14" t="s">
        <v>12</v>
      </c>
      <c r="D18" s="18">
        <f>D19+D20</f>
        <v>1009</v>
      </c>
      <c r="E18" s="49"/>
      <c r="F18" s="49"/>
      <c r="G18" s="68">
        <f>G19+G20</f>
        <v>13080000</v>
      </c>
      <c r="H18" s="68">
        <f>H19+H20</f>
        <v>20143200</v>
      </c>
    </row>
    <row r="19" spans="2:8" s="57" customFormat="1" ht="27" customHeight="1" x14ac:dyDescent="0.25">
      <c r="B19" s="19"/>
      <c r="C19" s="20" t="s">
        <v>13</v>
      </c>
      <c r="D19" s="21">
        <v>162</v>
      </c>
      <c r="E19" s="69">
        <v>4.5</v>
      </c>
      <c r="F19" s="69">
        <v>500</v>
      </c>
      <c r="G19" s="70">
        <f>D19*E19*F19*8</f>
        <v>2916000</v>
      </c>
      <c r="H19" s="62">
        <f>G19+(D19*E19*540*4)</f>
        <v>4490640</v>
      </c>
    </row>
    <row r="20" spans="2:8" s="57" customFormat="1" ht="27" customHeight="1" x14ac:dyDescent="0.25">
      <c r="B20" s="19"/>
      <c r="C20" s="20" t="s">
        <v>14</v>
      </c>
      <c r="D20" s="21">
        <v>847</v>
      </c>
      <c r="E20" s="69">
        <v>3</v>
      </c>
      <c r="F20" s="69">
        <v>500</v>
      </c>
      <c r="G20" s="70">
        <f>D20*E20*F20*8</f>
        <v>10164000</v>
      </c>
      <c r="H20" s="62">
        <f>G20+(D20*E20*540*4)</f>
        <v>15652560</v>
      </c>
    </row>
    <row r="21" spans="2:8" s="67" customFormat="1" ht="136.5" customHeight="1" x14ac:dyDescent="0.2">
      <c r="B21" s="13">
        <v>2</v>
      </c>
      <c r="C21" s="14" t="s">
        <v>15</v>
      </c>
      <c r="D21" s="71">
        <f>D22</f>
        <v>6555</v>
      </c>
      <c r="E21" s="49"/>
      <c r="F21" s="49"/>
      <c r="G21" s="68">
        <f>G22+G29</f>
        <v>151110000</v>
      </c>
      <c r="H21" s="68">
        <f>H22+H29</f>
        <v>214981080</v>
      </c>
    </row>
    <row r="22" spans="2:8" s="64" customFormat="1" ht="27" customHeight="1" x14ac:dyDescent="0.25">
      <c r="B22" s="16" t="s">
        <v>50</v>
      </c>
      <c r="C22" s="17" t="s">
        <v>16</v>
      </c>
      <c r="D22" s="18">
        <f>D23+D26</f>
        <v>6555</v>
      </c>
      <c r="E22" s="18"/>
      <c r="F22" s="18"/>
      <c r="G22" s="18">
        <f t="shared" ref="G22:H22" si="1">G23+G26</f>
        <v>122310000</v>
      </c>
      <c r="H22" s="18">
        <f t="shared" si="1"/>
        <v>184021080</v>
      </c>
    </row>
    <row r="23" spans="2:8" s="57" customFormat="1" ht="27" customHeight="1" x14ac:dyDescent="0.25">
      <c r="B23" s="19"/>
      <c r="C23" s="20" t="s">
        <v>13</v>
      </c>
      <c r="D23" s="21">
        <f>D24+D25</f>
        <v>577</v>
      </c>
      <c r="E23" s="21"/>
      <c r="F23" s="21"/>
      <c r="G23" s="21">
        <f t="shared" ref="G23:H23" si="2">G24+G25</f>
        <v>13902000</v>
      </c>
      <c r="H23" s="21">
        <f t="shared" si="2"/>
        <v>21409080</v>
      </c>
    </row>
    <row r="24" spans="2:8" s="43" customFormat="1" ht="27" customHeight="1" x14ac:dyDescent="0.25">
      <c r="B24" s="22"/>
      <c r="C24" s="23" t="s">
        <v>17</v>
      </c>
      <c r="D24" s="21">
        <v>550</v>
      </c>
      <c r="E24" s="60">
        <v>6</v>
      </c>
      <c r="F24" s="60">
        <v>500</v>
      </c>
      <c r="G24" s="73">
        <f>D24*E24*F24*8</f>
        <v>13200000</v>
      </c>
      <c r="H24" s="74">
        <f>G24+(D24*E24*540*4)</f>
        <v>20328000</v>
      </c>
    </row>
    <row r="25" spans="2:8" s="43" customFormat="1" ht="27" customHeight="1" x14ac:dyDescent="0.25">
      <c r="B25" s="22"/>
      <c r="C25" s="23" t="s">
        <v>18</v>
      </c>
      <c r="D25" s="21">
        <v>27</v>
      </c>
      <c r="E25" s="60">
        <v>6.5</v>
      </c>
      <c r="F25" s="60">
        <v>500</v>
      </c>
      <c r="G25" s="73">
        <f>D25*E25*F25*8</f>
        <v>702000</v>
      </c>
      <c r="H25" s="74">
        <f>G25+(D25*E25*540*4)</f>
        <v>1081080</v>
      </c>
    </row>
    <row r="26" spans="2:8" s="57" customFormat="1" ht="27" customHeight="1" x14ac:dyDescent="0.25">
      <c r="B26" s="19"/>
      <c r="C26" s="20" t="s">
        <v>14</v>
      </c>
      <c r="D26" s="24">
        <f>D27+D28</f>
        <v>5978</v>
      </c>
      <c r="E26" s="21"/>
      <c r="F26" s="21"/>
      <c r="G26" s="21">
        <f t="shared" ref="G26:H26" si="3">G27+G28</f>
        <v>108408000</v>
      </c>
      <c r="H26" s="21">
        <f t="shared" si="3"/>
        <v>162612000</v>
      </c>
    </row>
    <row r="27" spans="2:8" s="43" customFormat="1" ht="27" customHeight="1" x14ac:dyDescent="0.25">
      <c r="B27" s="22"/>
      <c r="C27" s="23" t="s">
        <v>17</v>
      </c>
      <c r="D27" s="21">
        <v>5576</v>
      </c>
      <c r="E27" s="60">
        <v>4.5</v>
      </c>
      <c r="F27" s="60">
        <v>500</v>
      </c>
      <c r="G27" s="73">
        <f>D27*E27*F27*8</f>
        <v>100368000</v>
      </c>
      <c r="H27" s="74">
        <f>G27+(D27*E27*F27*4)</f>
        <v>150552000</v>
      </c>
    </row>
    <row r="28" spans="2:8" s="43" customFormat="1" ht="27" customHeight="1" x14ac:dyDescent="0.25">
      <c r="B28" s="22"/>
      <c r="C28" s="23" t="s">
        <v>18</v>
      </c>
      <c r="D28" s="21">
        <v>402</v>
      </c>
      <c r="E28" s="60">
        <v>5</v>
      </c>
      <c r="F28" s="60">
        <v>500</v>
      </c>
      <c r="G28" s="73">
        <f>D28*E28*F28*8</f>
        <v>8040000</v>
      </c>
      <c r="H28" s="74">
        <f>G28+(D28*E28*F28*4)</f>
        <v>12060000</v>
      </c>
    </row>
    <row r="29" spans="2:8" s="64" customFormat="1" ht="27" customHeight="1" x14ac:dyDescent="0.25">
      <c r="B29" s="16" t="s">
        <v>51</v>
      </c>
      <c r="C29" s="17" t="s">
        <v>8</v>
      </c>
      <c r="D29" s="18">
        <f>120*3</f>
        <v>360</v>
      </c>
      <c r="E29" s="54">
        <v>20</v>
      </c>
      <c r="F29" s="54">
        <v>500</v>
      </c>
      <c r="G29" s="75">
        <f>D29*E29*F29*8</f>
        <v>28800000</v>
      </c>
      <c r="H29" s="76">
        <f>G29+(200*E29*540)</f>
        <v>30960000</v>
      </c>
    </row>
    <row r="30" spans="2:8" s="67" customFormat="1" ht="60.75" customHeight="1" x14ac:dyDescent="0.2">
      <c r="B30" s="13">
        <v>3</v>
      </c>
      <c r="C30" s="14" t="s">
        <v>19</v>
      </c>
      <c r="D30" s="18">
        <f>D31+D32</f>
        <v>1354</v>
      </c>
      <c r="E30" s="49"/>
      <c r="F30" s="49"/>
      <c r="G30" s="68">
        <f>G31+G32</f>
        <v>8892000</v>
      </c>
      <c r="H30" s="68">
        <f>H31+H32</f>
        <v>13693680</v>
      </c>
    </row>
    <row r="31" spans="2:8" s="57" customFormat="1" ht="27" customHeight="1" x14ac:dyDescent="0.25">
      <c r="B31" s="19"/>
      <c r="C31" s="20" t="s">
        <v>13</v>
      </c>
      <c r="D31" s="21">
        <v>192</v>
      </c>
      <c r="E31" s="69">
        <v>2.5</v>
      </c>
      <c r="F31" s="69">
        <v>500</v>
      </c>
      <c r="G31" s="70">
        <f>D31*E31*F31*8</f>
        <v>1920000</v>
      </c>
      <c r="H31" s="72">
        <f>G31+(D31*E31*540*4)</f>
        <v>2956800</v>
      </c>
    </row>
    <row r="32" spans="2:8" s="57" customFormat="1" ht="27" customHeight="1" x14ac:dyDescent="0.25">
      <c r="B32" s="19"/>
      <c r="C32" s="20" t="s">
        <v>14</v>
      </c>
      <c r="D32" s="21">
        <v>1162</v>
      </c>
      <c r="E32" s="69">
        <v>1.5</v>
      </c>
      <c r="F32" s="69">
        <v>500</v>
      </c>
      <c r="G32" s="70">
        <f>D32*E32*F32*8</f>
        <v>6972000</v>
      </c>
      <c r="H32" s="72">
        <f>G32+(D32*E32*540*4)</f>
        <v>10736880</v>
      </c>
    </row>
    <row r="33" spans="2:8" s="67" customFormat="1" ht="61.5" customHeight="1" x14ac:dyDescent="0.2">
      <c r="B33" s="13">
        <v>4</v>
      </c>
      <c r="C33" s="14" t="s">
        <v>20</v>
      </c>
      <c r="D33" s="18">
        <v>14569</v>
      </c>
      <c r="E33" s="49">
        <v>1</v>
      </c>
      <c r="F33" s="49">
        <v>500</v>
      </c>
      <c r="G33" s="68">
        <f>D33*E33*F33*8</f>
        <v>58276000</v>
      </c>
      <c r="H33" s="66">
        <f>G33+(D33*E33*540*4)</f>
        <v>89745040</v>
      </c>
    </row>
    <row r="34" spans="2:8" s="67" customFormat="1" ht="51" customHeight="1" x14ac:dyDescent="0.2">
      <c r="B34" s="13">
        <v>5</v>
      </c>
      <c r="C34" s="14" t="s">
        <v>21</v>
      </c>
      <c r="D34" s="18">
        <f>D35+D36</f>
        <v>1513</v>
      </c>
      <c r="E34" s="49"/>
      <c r="F34" s="49"/>
      <c r="G34" s="68">
        <f>G35+G36</f>
        <v>12752000</v>
      </c>
      <c r="H34" s="68">
        <f>H35+H36</f>
        <v>19638080</v>
      </c>
    </row>
    <row r="35" spans="2:8" s="57" customFormat="1" ht="27" customHeight="1" x14ac:dyDescent="0.25">
      <c r="B35" s="19"/>
      <c r="C35" s="20" t="s">
        <v>22</v>
      </c>
      <c r="D35" s="21">
        <v>162</v>
      </c>
      <c r="E35" s="69">
        <v>3</v>
      </c>
      <c r="F35" s="69">
        <v>500</v>
      </c>
      <c r="G35" s="70">
        <f>D35*E35*F35*8</f>
        <v>1944000</v>
      </c>
      <c r="H35" s="72">
        <f>G35+(D35*E35*540*4)</f>
        <v>2993760</v>
      </c>
    </row>
    <row r="36" spans="2:8" s="57" customFormat="1" ht="27" customHeight="1" x14ac:dyDescent="0.25">
      <c r="B36" s="19"/>
      <c r="C36" s="20" t="s">
        <v>14</v>
      </c>
      <c r="D36" s="21">
        <v>1351</v>
      </c>
      <c r="E36" s="69">
        <v>2</v>
      </c>
      <c r="F36" s="69">
        <v>500</v>
      </c>
      <c r="G36" s="70">
        <f>D36*E36*F36*8</f>
        <v>10808000</v>
      </c>
      <c r="H36" s="72">
        <f>G36+(D36*E36*540*4)</f>
        <v>16644320</v>
      </c>
    </row>
    <row r="37" spans="2:8" s="67" customFormat="1" ht="53.25" customHeight="1" x14ac:dyDescent="0.2">
      <c r="B37" s="13">
        <v>6</v>
      </c>
      <c r="C37" s="77" t="s">
        <v>23</v>
      </c>
      <c r="D37" s="78">
        <v>1603</v>
      </c>
      <c r="E37" s="50">
        <v>1</v>
      </c>
      <c r="F37" s="50">
        <v>500</v>
      </c>
      <c r="G37" s="79">
        <f>D37*E37*F37*8</f>
        <v>6412000</v>
      </c>
      <c r="H37" s="76">
        <f>G37+(D37*E37*540)</f>
        <v>7277620</v>
      </c>
    </row>
    <row r="38" spans="2:8" s="82" customFormat="1" ht="27" customHeight="1" x14ac:dyDescent="0.2">
      <c r="B38" s="114" t="s">
        <v>31</v>
      </c>
      <c r="C38" s="114"/>
      <c r="D38" s="81">
        <f>D9+D17</f>
        <v>27654</v>
      </c>
      <c r="E38" s="81"/>
      <c r="F38" s="81"/>
      <c r="G38" s="81">
        <f>G9+G17</f>
        <v>271837000</v>
      </c>
      <c r="H38" s="81">
        <f>H9+H17</f>
        <v>398236300</v>
      </c>
    </row>
    <row r="39" spans="2:8" x14ac:dyDescent="0.2">
      <c r="D39" s="37"/>
    </row>
  </sheetData>
  <mergeCells count="11">
    <mergeCell ref="F11:F12"/>
    <mergeCell ref="F15:F16"/>
    <mergeCell ref="B38:C38"/>
    <mergeCell ref="B1:H1"/>
    <mergeCell ref="B3:H3"/>
    <mergeCell ref="B4:H4"/>
    <mergeCell ref="B6:B8"/>
    <mergeCell ref="C6:C8"/>
    <mergeCell ref="D6:D8"/>
    <mergeCell ref="E6:H6"/>
    <mergeCell ref="E7:E8"/>
  </mergeCells>
  <pageMargins left="0" right="0" top="0.25" bottom="0"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03E5F-A78A-4A3B-A2A6-EBFDC201E181}">
  <dimension ref="B1:H39"/>
  <sheetViews>
    <sheetView workbookViewId="0">
      <selection activeCell="F33" sqref="F33"/>
    </sheetView>
  </sheetViews>
  <sheetFormatPr defaultColWidth="9" defaultRowHeight="12.75" x14ac:dyDescent="0.2"/>
  <cols>
    <col min="1" max="1" width="1.85546875" style="35" customWidth="1"/>
    <col min="2" max="2" width="4.28515625" style="40" customWidth="1"/>
    <col min="3" max="3" width="42.7109375" style="41" customWidth="1"/>
    <col min="4" max="4" width="9.85546875" style="35" customWidth="1"/>
    <col min="5" max="5" width="10.28515625" style="35" customWidth="1"/>
    <col min="6" max="6" width="11.5703125" style="35" customWidth="1"/>
    <col min="7" max="7" width="18.28515625" style="35" customWidth="1"/>
    <col min="8" max="8" width="10" style="35" bestFit="1" customWidth="1"/>
    <col min="9" max="9" width="12.28515625" style="35" bestFit="1" customWidth="1"/>
    <col min="10" max="16384" width="9" style="35"/>
  </cols>
  <sheetData>
    <row r="1" spans="2:8" x14ac:dyDescent="0.2">
      <c r="B1" s="115" t="s">
        <v>76</v>
      </c>
      <c r="C1" s="115"/>
      <c r="D1" s="115"/>
      <c r="E1" s="115"/>
      <c r="F1" s="115"/>
      <c r="G1" s="115"/>
    </row>
    <row r="2" spans="2:8" x14ac:dyDescent="0.2">
      <c r="B2" s="36"/>
      <c r="C2" s="36"/>
      <c r="D2" s="37"/>
    </row>
    <row r="3" spans="2:8" ht="51" customHeight="1" x14ac:dyDescent="0.2">
      <c r="B3" s="116" t="s">
        <v>79</v>
      </c>
      <c r="C3" s="116"/>
      <c r="D3" s="116"/>
      <c r="E3" s="116"/>
      <c r="F3" s="116"/>
      <c r="G3" s="116"/>
    </row>
    <row r="4" spans="2:8" ht="36" customHeight="1" x14ac:dyDescent="0.2">
      <c r="B4" s="117" t="s">
        <v>37</v>
      </c>
      <c r="C4" s="117"/>
      <c r="D4" s="117"/>
      <c r="E4" s="117"/>
      <c r="F4" s="117"/>
      <c r="G4" s="117"/>
    </row>
    <row r="5" spans="2:8" x14ac:dyDescent="0.2">
      <c r="B5" s="38"/>
      <c r="C5" s="39"/>
      <c r="D5" s="38"/>
    </row>
    <row r="6" spans="2:8" s="43" customFormat="1" ht="48.75" customHeight="1" x14ac:dyDescent="0.25">
      <c r="B6" s="118" t="s">
        <v>38</v>
      </c>
      <c r="C6" s="120" t="s">
        <v>39</v>
      </c>
      <c r="D6" s="123" t="s">
        <v>40</v>
      </c>
      <c r="E6" s="126" t="s">
        <v>78</v>
      </c>
      <c r="F6" s="127"/>
      <c r="G6" s="127"/>
      <c r="H6" s="42"/>
    </row>
    <row r="7" spans="2:8" s="43" customFormat="1" ht="42.75" x14ac:dyDescent="0.25">
      <c r="B7" s="119"/>
      <c r="C7" s="121"/>
      <c r="D7" s="124"/>
      <c r="E7" s="129" t="s">
        <v>25</v>
      </c>
      <c r="F7" s="44" t="s">
        <v>26</v>
      </c>
      <c r="G7" s="29" t="s">
        <v>77</v>
      </c>
    </row>
    <row r="8" spans="2:8" s="43" customFormat="1" ht="15" x14ac:dyDescent="0.25">
      <c r="B8" s="119"/>
      <c r="C8" s="122"/>
      <c r="D8" s="125"/>
      <c r="E8" s="130"/>
      <c r="F8" s="45" t="s">
        <v>42</v>
      </c>
      <c r="G8" s="45" t="s">
        <v>42</v>
      </c>
    </row>
    <row r="9" spans="2:8" s="43" customFormat="1" ht="37.5" customHeight="1" x14ac:dyDescent="0.25">
      <c r="B9" s="46" t="s">
        <v>7</v>
      </c>
      <c r="C9" s="47" t="s">
        <v>43</v>
      </c>
      <c r="D9" s="48">
        <f>D10</f>
        <v>1051</v>
      </c>
      <c r="E9" s="80"/>
      <c r="F9" s="50"/>
      <c r="G9" s="51">
        <f>G10+G14</f>
        <v>34457400</v>
      </c>
    </row>
    <row r="10" spans="2:8" s="57" customFormat="1" ht="27" customHeight="1" x14ac:dyDescent="0.25">
      <c r="B10" s="16">
        <v>1</v>
      </c>
      <c r="C10" s="52" t="s">
        <v>44</v>
      </c>
      <c r="D10" s="53">
        <v>1051</v>
      </c>
      <c r="E10" s="54"/>
      <c r="F10" s="55"/>
      <c r="G10" s="56">
        <f>G11+G12</f>
        <v>34084800</v>
      </c>
    </row>
    <row r="11" spans="2:8" s="43" customFormat="1" ht="27" customHeight="1" x14ac:dyDescent="0.25">
      <c r="B11" s="22"/>
      <c r="C11" s="58" t="s">
        <v>45</v>
      </c>
      <c r="D11" s="59">
        <v>1</v>
      </c>
      <c r="E11" s="65">
        <v>10</v>
      </c>
      <c r="F11" s="111">
        <v>540</v>
      </c>
      <c r="G11" s="61">
        <f>D11*E11*F11*12</f>
        <v>64800</v>
      </c>
    </row>
    <row r="12" spans="2:8" s="43" customFormat="1" ht="27" customHeight="1" x14ac:dyDescent="0.25">
      <c r="B12" s="22"/>
      <c r="C12" s="58" t="s">
        <v>46</v>
      </c>
      <c r="D12" s="59">
        <f>330+380+340</f>
        <v>1050</v>
      </c>
      <c r="E12" s="65">
        <v>5</v>
      </c>
      <c r="F12" s="112"/>
      <c r="G12" s="61">
        <f>D12*E12*F11*12</f>
        <v>34020000</v>
      </c>
    </row>
    <row r="13" spans="2:8" s="64" customFormat="1" ht="27" customHeight="1" x14ac:dyDescent="0.25">
      <c r="B13" s="16">
        <v>2</v>
      </c>
      <c r="C13" s="52" t="s">
        <v>47</v>
      </c>
      <c r="D13" s="53">
        <f>331+380+340</f>
        <v>1051</v>
      </c>
      <c r="E13" s="54"/>
      <c r="F13" s="55">
        <v>150</v>
      </c>
      <c r="G13" s="56">
        <f>D13*F13*11</f>
        <v>1734150</v>
      </c>
    </row>
    <row r="14" spans="2:8" s="64" customFormat="1" ht="27" customHeight="1" x14ac:dyDescent="0.25">
      <c r="B14" s="16">
        <v>3</v>
      </c>
      <c r="C14" s="52" t="s">
        <v>8</v>
      </c>
      <c r="D14" s="53">
        <v>11</v>
      </c>
      <c r="E14" s="54"/>
      <c r="F14" s="55"/>
      <c r="G14" s="56">
        <f>G15+G16</f>
        <v>372600</v>
      </c>
    </row>
    <row r="15" spans="2:8" s="43" customFormat="1" ht="27" customHeight="1" x14ac:dyDescent="0.25">
      <c r="B15" s="22"/>
      <c r="C15" s="58" t="s">
        <v>48</v>
      </c>
      <c r="D15" s="59">
        <v>2</v>
      </c>
      <c r="E15" s="65">
        <v>70</v>
      </c>
      <c r="F15" s="113">
        <v>540</v>
      </c>
      <c r="G15" s="61">
        <f>D15*E15*F15</f>
        <v>75600</v>
      </c>
    </row>
    <row r="16" spans="2:8" s="43" customFormat="1" ht="27" customHeight="1" x14ac:dyDescent="0.25">
      <c r="B16" s="22"/>
      <c r="C16" s="58" t="s">
        <v>10</v>
      </c>
      <c r="D16" s="59">
        <v>11</v>
      </c>
      <c r="E16" s="65">
        <v>50</v>
      </c>
      <c r="F16" s="113"/>
      <c r="G16" s="61">
        <f>11*50*540</f>
        <v>297000</v>
      </c>
    </row>
    <row r="17" spans="2:7" s="67" customFormat="1" ht="27" customHeight="1" x14ac:dyDescent="0.2">
      <c r="B17" s="13" t="s">
        <v>11</v>
      </c>
      <c r="C17" s="14" t="s">
        <v>49</v>
      </c>
      <c r="D17" s="12">
        <f>D18+D21+D30+D33+D34+D37</f>
        <v>31237.5</v>
      </c>
      <c r="E17" s="12"/>
      <c r="F17" s="12"/>
      <c r="G17" s="30">
        <f>G18+G21+G30+G33+G34+G37</f>
        <v>506808900</v>
      </c>
    </row>
    <row r="18" spans="2:7" s="67" customFormat="1" ht="51" customHeight="1" x14ac:dyDescent="0.2">
      <c r="B18" s="13">
        <v>1</v>
      </c>
      <c r="C18" s="14" t="s">
        <v>12</v>
      </c>
      <c r="D18" s="18">
        <f>D19+D20</f>
        <v>1009</v>
      </c>
      <c r="E18" s="80"/>
      <c r="F18" s="80"/>
      <c r="G18" s="68">
        <f>G19+G20</f>
        <v>21189600</v>
      </c>
    </row>
    <row r="19" spans="2:7" s="57" customFormat="1" ht="27" customHeight="1" x14ac:dyDescent="0.25">
      <c r="B19" s="19"/>
      <c r="C19" s="20" t="s">
        <v>13</v>
      </c>
      <c r="D19" s="21">
        <v>162</v>
      </c>
      <c r="E19" s="69">
        <v>4.5</v>
      </c>
      <c r="F19" s="69">
        <v>540</v>
      </c>
      <c r="G19" s="70">
        <f>D19*E19*F19*12</f>
        <v>4723920</v>
      </c>
    </row>
    <row r="20" spans="2:7" s="57" customFormat="1" ht="27" customHeight="1" x14ac:dyDescent="0.25">
      <c r="B20" s="19"/>
      <c r="C20" s="20" t="s">
        <v>14</v>
      </c>
      <c r="D20" s="21">
        <v>847</v>
      </c>
      <c r="E20" s="69">
        <v>3</v>
      </c>
      <c r="F20" s="69">
        <v>540</v>
      </c>
      <c r="G20" s="70">
        <f>D20*E20*F20*12</f>
        <v>16465680</v>
      </c>
    </row>
    <row r="21" spans="2:7" s="67" customFormat="1" ht="136.5" customHeight="1" x14ac:dyDescent="0.2">
      <c r="B21" s="13">
        <v>2</v>
      </c>
      <c r="C21" s="14" t="s">
        <v>15</v>
      </c>
      <c r="D21" s="71">
        <f>D22</f>
        <v>10023.5</v>
      </c>
      <c r="E21" s="80"/>
      <c r="F21" s="80"/>
      <c r="G21" s="68">
        <f>G22+G29</f>
        <v>336443220</v>
      </c>
    </row>
    <row r="22" spans="2:7" s="64" customFormat="1" ht="27" customHeight="1" x14ac:dyDescent="0.25">
      <c r="B22" s="16" t="s">
        <v>50</v>
      </c>
      <c r="C22" s="17" t="s">
        <v>16</v>
      </c>
      <c r="D22" s="18">
        <f>D23+D26</f>
        <v>10023.5</v>
      </c>
      <c r="E22" s="18"/>
      <c r="F22" s="18"/>
      <c r="G22" s="18">
        <f t="shared" ref="G22" si="0">G23+G26</f>
        <v>305339220</v>
      </c>
    </row>
    <row r="23" spans="2:7" s="57" customFormat="1" ht="27" customHeight="1" x14ac:dyDescent="0.25">
      <c r="B23" s="19"/>
      <c r="C23" s="20" t="s">
        <v>13</v>
      </c>
      <c r="D23" s="21">
        <f>D24+D25</f>
        <v>1056.5</v>
      </c>
      <c r="E23" s="21"/>
      <c r="F23" s="21"/>
      <c r="G23" s="21">
        <f t="shared" ref="G23" si="1">G24+G25</f>
        <v>41907780</v>
      </c>
    </row>
    <row r="24" spans="2:7" s="43" customFormat="1" ht="27" customHeight="1" x14ac:dyDescent="0.25">
      <c r="B24" s="22"/>
      <c r="C24" s="23" t="s">
        <v>17</v>
      </c>
      <c r="D24" s="21">
        <f>550+(500*50/100)</f>
        <v>800</v>
      </c>
      <c r="E24" s="65">
        <v>6</v>
      </c>
      <c r="F24" s="65">
        <v>540</v>
      </c>
      <c r="G24" s="73">
        <f>D24*E24*F24*12</f>
        <v>31104000</v>
      </c>
    </row>
    <row r="25" spans="2:7" s="43" customFormat="1" ht="27" customHeight="1" x14ac:dyDescent="0.25">
      <c r="B25" s="22"/>
      <c r="C25" s="23" t="s">
        <v>18</v>
      </c>
      <c r="D25" s="21">
        <f>27+(27*850/100)</f>
        <v>256.5</v>
      </c>
      <c r="E25" s="65">
        <v>6.5</v>
      </c>
      <c r="F25" s="65">
        <v>540</v>
      </c>
      <c r="G25" s="73">
        <f>D25*E25*F25*12</f>
        <v>10803780</v>
      </c>
    </row>
    <row r="26" spans="2:7" s="57" customFormat="1" ht="27" customHeight="1" x14ac:dyDescent="0.25">
      <c r="B26" s="19"/>
      <c r="C26" s="20" t="s">
        <v>14</v>
      </c>
      <c r="D26" s="24">
        <f>D27+D28</f>
        <v>8967</v>
      </c>
      <c r="E26" s="21"/>
      <c r="F26" s="21"/>
      <c r="G26" s="21">
        <f t="shared" ref="G26" si="2">G27+G28</f>
        <v>263431440</v>
      </c>
    </row>
    <row r="27" spans="2:7" s="43" customFormat="1" ht="27" customHeight="1" x14ac:dyDescent="0.25">
      <c r="B27" s="22"/>
      <c r="C27" s="23" t="s">
        <v>17</v>
      </c>
      <c r="D27" s="21">
        <f>5576+(5576*50/100)</f>
        <v>8364</v>
      </c>
      <c r="E27" s="65">
        <v>4.5</v>
      </c>
      <c r="F27" s="65">
        <v>540</v>
      </c>
      <c r="G27" s="73">
        <f>D27*E27*F27*12</f>
        <v>243894240</v>
      </c>
    </row>
    <row r="28" spans="2:7" s="43" customFormat="1" ht="27" customHeight="1" x14ac:dyDescent="0.25">
      <c r="B28" s="22"/>
      <c r="C28" s="23" t="s">
        <v>18</v>
      </c>
      <c r="D28" s="21">
        <f>402+(402*50/100)</f>
        <v>603</v>
      </c>
      <c r="E28" s="65">
        <v>5</v>
      </c>
      <c r="F28" s="65">
        <v>540</v>
      </c>
      <c r="G28" s="73">
        <f>D28*E28*F28*12</f>
        <v>19537200</v>
      </c>
    </row>
    <row r="29" spans="2:7" s="64" customFormat="1" ht="27" customHeight="1" x14ac:dyDescent="0.25">
      <c r="B29" s="16" t="s">
        <v>51</v>
      </c>
      <c r="C29" s="17" t="s">
        <v>8</v>
      </c>
      <c r="D29" s="18">
        <f>120*3</f>
        <v>360</v>
      </c>
      <c r="E29" s="54">
        <v>20</v>
      </c>
      <c r="F29" s="54">
        <v>540</v>
      </c>
      <c r="G29" s="75">
        <f>D29*E29*F29*8</f>
        <v>31104000</v>
      </c>
    </row>
    <row r="30" spans="2:7" s="67" customFormat="1" ht="60.75" customHeight="1" x14ac:dyDescent="0.2">
      <c r="B30" s="13">
        <v>3</v>
      </c>
      <c r="C30" s="14" t="s">
        <v>19</v>
      </c>
      <c r="D30" s="18">
        <f>D31+D32</f>
        <v>2031</v>
      </c>
      <c r="E30" s="80"/>
      <c r="F30" s="80"/>
      <c r="G30" s="68">
        <f>G31+G32</f>
        <v>21607560</v>
      </c>
    </row>
    <row r="31" spans="2:7" s="57" customFormat="1" ht="27" customHeight="1" x14ac:dyDescent="0.25">
      <c r="B31" s="19"/>
      <c r="C31" s="20" t="s">
        <v>13</v>
      </c>
      <c r="D31" s="21">
        <f>192+(192*50/100)</f>
        <v>288</v>
      </c>
      <c r="E31" s="69">
        <v>2.5</v>
      </c>
      <c r="F31" s="69">
        <v>540</v>
      </c>
      <c r="G31" s="70">
        <f>D31*E31*F31*12</f>
        <v>4665600</v>
      </c>
    </row>
    <row r="32" spans="2:7" s="57" customFormat="1" ht="27" customHeight="1" x14ac:dyDescent="0.25">
      <c r="B32" s="19"/>
      <c r="C32" s="20" t="s">
        <v>14</v>
      </c>
      <c r="D32" s="21">
        <f>1162+(1162*50/100)</f>
        <v>1743</v>
      </c>
      <c r="E32" s="69">
        <v>1.5</v>
      </c>
      <c r="F32" s="69">
        <v>540</v>
      </c>
      <c r="G32" s="70">
        <f>D32*E32*F32*12</f>
        <v>16941960</v>
      </c>
    </row>
    <row r="33" spans="2:7" s="67" customFormat="1" ht="61.5" customHeight="1" x14ac:dyDescent="0.2">
      <c r="B33" s="13">
        <v>4</v>
      </c>
      <c r="C33" s="14" t="s">
        <v>20</v>
      </c>
      <c r="D33" s="18">
        <v>13500</v>
      </c>
      <c r="E33" s="80">
        <v>1</v>
      </c>
      <c r="F33" s="80">
        <v>500</v>
      </c>
      <c r="G33" s="68">
        <f>D33*E33*F33*12</f>
        <v>81000000</v>
      </c>
    </row>
    <row r="34" spans="2:7" s="67" customFormat="1" ht="51" customHeight="1" x14ac:dyDescent="0.2">
      <c r="B34" s="13">
        <v>5</v>
      </c>
      <c r="C34" s="14" t="s">
        <v>21</v>
      </c>
      <c r="D34" s="18">
        <f>D35+D36</f>
        <v>2269.5</v>
      </c>
      <c r="E34" s="80"/>
      <c r="F34" s="80"/>
      <c r="G34" s="68">
        <f>G35+G36</f>
        <v>30987360</v>
      </c>
    </row>
    <row r="35" spans="2:7" s="57" customFormat="1" ht="27" customHeight="1" x14ac:dyDescent="0.25">
      <c r="B35" s="19"/>
      <c r="C35" s="20" t="s">
        <v>22</v>
      </c>
      <c r="D35" s="21">
        <f>162+(162*50/100)</f>
        <v>243</v>
      </c>
      <c r="E35" s="69">
        <v>3</v>
      </c>
      <c r="F35" s="69">
        <v>540</v>
      </c>
      <c r="G35" s="70">
        <f>D35*E35*F35*12</f>
        <v>4723920</v>
      </c>
    </row>
    <row r="36" spans="2:7" s="57" customFormat="1" ht="27" customHeight="1" x14ac:dyDescent="0.25">
      <c r="B36" s="19"/>
      <c r="C36" s="20" t="s">
        <v>14</v>
      </c>
      <c r="D36" s="21">
        <f>1351+(1351*50/100)</f>
        <v>2026.5</v>
      </c>
      <c r="E36" s="69">
        <v>2</v>
      </c>
      <c r="F36" s="69">
        <v>540</v>
      </c>
      <c r="G36" s="70">
        <f>D36*E36*F36*12</f>
        <v>26263440</v>
      </c>
    </row>
    <row r="37" spans="2:7" s="67" customFormat="1" ht="53.25" customHeight="1" x14ac:dyDescent="0.2">
      <c r="B37" s="13">
        <v>6</v>
      </c>
      <c r="C37" s="77" t="s">
        <v>23</v>
      </c>
      <c r="D37" s="78">
        <f>1603+(1603*50/100)</f>
        <v>2404.5</v>
      </c>
      <c r="E37" s="50">
        <v>1</v>
      </c>
      <c r="F37" s="50">
        <v>540</v>
      </c>
      <c r="G37" s="79">
        <f>D37*E37*F37*12</f>
        <v>15581160</v>
      </c>
    </row>
    <row r="38" spans="2:7" s="82" customFormat="1" ht="27" customHeight="1" x14ac:dyDescent="0.2">
      <c r="B38" s="114" t="s">
        <v>31</v>
      </c>
      <c r="C38" s="114"/>
      <c r="D38" s="81">
        <f>D9+D17</f>
        <v>32288.5</v>
      </c>
      <c r="E38" s="81"/>
      <c r="F38" s="81"/>
      <c r="G38" s="81">
        <f>G9+G17</f>
        <v>541266300</v>
      </c>
    </row>
    <row r="39" spans="2:7" x14ac:dyDescent="0.2">
      <c r="D39" s="37"/>
    </row>
  </sheetData>
  <mergeCells count="11">
    <mergeCell ref="F11:F12"/>
    <mergeCell ref="F15:F16"/>
    <mergeCell ref="B38:C38"/>
    <mergeCell ref="B1:G1"/>
    <mergeCell ref="B3:G3"/>
    <mergeCell ref="B4:G4"/>
    <mergeCell ref="B6:B8"/>
    <mergeCell ref="C6:C8"/>
    <mergeCell ref="D6:D8"/>
    <mergeCell ref="E6:G6"/>
    <mergeCell ref="E7:E8"/>
  </mergeCells>
  <pageMargins left="0" right="0" top="0" bottom="0"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65C5D-4229-4500-BAE4-7C44A67C415D}">
  <dimension ref="A1:J44"/>
  <sheetViews>
    <sheetView tabSelected="1" topLeftCell="A37" workbookViewId="0">
      <selection activeCell="C5" sqref="C5:G5"/>
    </sheetView>
  </sheetViews>
  <sheetFormatPr defaultRowHeight="15" x14ac:dyDescent="0.25"/>
  <cols>
    <col min="1" max="1" width="5.140625" customWidth="1"/>
    <col min="2" max="2" width="49.140625" customWidth="1"/>
    <col min="3" max="3" width="15.85546875" style="83" customWidth="1"/>
    <col min="4" max="5" width="15.85546875" customWidth="1"/>
    <col min="6" max="6" width="15.7109375" customWidth="1"/>
    <col min="7" max="7" width="20" customWidth="1"/>
    <col min="8" max="8" width="18.140625" bestFit="1" customWidth="1"/>
  </cols>
  <sheetData>
    <row r="1" spans="1:10" ht="18.75" x14ac:dyDescent="0.3">
      <c r="D1" s="26" t="s">
        <v>82</v>
      </c>
    </row>
    <row r="2" spans="1:10" s="1" customFormat="1" ht="36" customHeight="1" x14ac:dyDescent="0.2">
      <c r="A2" s="144" t="s">
        <v>81</v>
      </c>
      <c r="B2" s="144"/>
      <c r="C2" s="144"/>
      <c r="D2" s="144"/>
      <c r="E2" s="144"/>
      <c r="F2" s="144"/>
      <c r="G2" s="144"/>
    </row>
    <row r="3" spans="1:10" s="1" customFormat="1" ht="23.25" customHeight="1" x14ac:dyDescent="0.2">
      <c r="A3" s="134" t="s">
        <v>80</v>
      </c>
      <c r="B3" s="134"/>
      <c r="C3" s="134"/>
      <c r="D3" s="134"/>
      <c r="E3" s="134"/>
      <c r="F3" s="134"/>
      <c r="G3" s="134"/>
    </row>
    <row r="4" spans="1:10" ht="18" customHeight="1" x14ac:dyDescent="0.25"/>
    <row r="5" spans="1:10" ht="34.5" customHeight="1" x14ac:dyDescent="0.25">
      <c r="A5" s="135" t="s">
        <v>0</v>
      </c>
      <c r="B5" s="135" t="s">
        <v>1</v>
      </c>
      <c r="C5" s="138" t="s">
        <v>24</v>
      </c>
      <c r="D5" s="139"/>
      <c r="E5" s="139"/>
      <c r="F5" s="139"/>
      <c r="G5" s="140"/>
    </row>
    <row r="6" spans="1:10" x14ac:dyDescent="0.25">
      <c r="A6" s="136"/>
      <c r="B6" s="136"/>
      <c r="C6" s="141" t="s">
        <v>2</v>
      </c>
      <c r="D6" s="138" t="s">
        <v>28</v>
      </c>
      <c r="E6" s="139"/>
      <c r="F6" s="140"/>
      <c r="G6" s="11" t="s">
        <v>30</v>
      </c>
    </row>
    <row r="7" spans="1:10" x14ac:dyDescent="0.25">
      <c r="A7" s="137"/>
      <c r="B7" s="137"/>
      <c r="C7" s="142"/>
      <c r="D7" s="11" t="s">
        <v>25</v>
      </c>
      <c r="E7" s="11" t="s">
        <v>26</v>
      </c>
      <c r="F7" s="11" t="s">
        <v>29</v>
      </c>
      <c r="G7" s="11"/>
    </row>
    <row r="8" spans="1:10" x14ac:dyDescent="0.25">
      <c r="A8" s="33"/>
      <c r="B8" s="84" t="s">
        <v>55</v>
      </c>
      <c r="C8" s="85">
        <f>C9+C17</f>
        <v>34641</v>
      </c>
      <c r="D8" s="86"/>
      <c r="E8" s="86"/>
      <c r="F8" s="87"/>
      <c r="G8" s="88">
        <f>G9+G17+G43+G44</f>
        <v>393070710000</v>
      </c>
    </row>
    <row r="9" spans="1:10" s="3" customFormat="1" ht="28.5" x14ac:dyDescent="0.25">
      <c r="A9" s="89" t="s">
        <v>7</v>
      </c>
      <c r="B9" s="90" t="s">
        <v>34</v>
      </c>
      <c r="C9" s="109">
        <f>C10</f>
        <v>1051</v>
      </c>
      <c r="D9" s="91"/>
      <c r="E9" s="91"/>
      <c r="F9" s="91"/>
      <c r="G9" s="92">
        <f>G10+G13+G14</f>
        <v>37374150000</v>
      </c>
    </row>
    <row r="10" spans="1:10" s="6" customFormat="1" x14ac:dyDescent="0.25">
      <c r="A10" s="4">
        <v>1</v>
      </c>
      <c r="B10" s="5" t="s">
        <v>3</v>
      </c>
      <c r="C10" s="110">
        <v>1051</v>
      </c>
      <c r="D10" s="4"/>
      <c r="E10" s="4"/>
      <c r="F10" s="7"/>
      <c r="G10" s="7">
        <f>G11+G12</f>
        <v>34084800000</v>
      </c>
    </row>
    <row r="11" spans="1:10" ht="19.5" customHeight="1" x14ac:dyDescent="0.3">
      <c r="A11" s="93" t="s">
        <v>56</v>
      </c>
      <c r="B11" s="4" t="s">
        <v>4</v>
      </c>
      <c r="C11" s="93">
        <v>1</v>
      </c>
      <c r="D11" s="4">
        <v>10</v>
      </c>
      <c r="E11" s="9">
        <v>540000</v>
      </c>
      <c r="F11" s="9">
        <v>5400000</v>
      </c>
      <c r="G11" s="7">
        <f>C11*F11*12</f>
        <v>64800000</v>
      </c>
      <c r="J11" s="143"/>
    </row>
    <row r="12" spans="1:10" ht="24" customHeight="1" x14ac:dyDescent="0.25">
      <c r="A12" s="93" t="s">
        <v>56</v>
      </c>
      <c r="B12" s="4" t="s">
        <v>5</v>
      </c>
      <c r="C12" s="110">
        <v>1050</v>
      </c>
      <c r="D12" s="4">
        <v>5</v>
      </c>
      <c r="E12" s="9">
        <v>540000</v>
      </c>
      <c r="F12" s="9">
        <f>D12*E12</f>
        <v>2700000</v>
      </c>
      <c r="G12" s="7">
        <f>C12*F12*12</f>
        <v>34020000000</v>
      </c>
    </row>
    <row r="13" spans="1:10" x14ac:dyDescent="0.25">
      <c r="A13" s="4">
        <v>2</v>
      </c>
      <c r="B13" s="5" t="s">
        <v>6</v>
      </c>
      <c r="C13" s="110">
        <v>1051</v>
      </c>
      <c r="D13" s="131">
        <v>150000</v>
      </c>
      <c r="E13" s="132"/>
      <c r="F13" s="133"/>
      <c r="G13" s="7">
        <f>C13*D13*11</f>
        <v>1734150000</v>
      </c>
    </row>
    <row r="14" spans="1:10" ht="24.75" customHeight="1" x14ac:dyDescent="0.25">
      <c r="A14" s="4">
        <v>3</v>
      </c>
      <c r="B14" s="4" t="s">
        <v>8</v>
      </c>
      <c r="C14" s="93"/>
      <c r="D14" s="4"/>
      <c r="E14" s="4"/>
      <c r="F14" s="4"/>
      <c r="G14" s="7">
        <f>G15+G16</f>
        <v>1555200000</v>
      </c>
    </row>
    <row r="15" spans="1:10" x14ac:dyDescent="0.25">
      <c r="A15" s="93" t="s">
        <v>56</v>
      </c>
      <c r="B15" s="5" t="s">
        <v>9</v>
      </c>
      <c r="C15" s="93">
        <v>2</v>
      </c>
      <c r="D15" s="4">
        <v>70</v>
      </c>
      <c r="E15" s="9">
        <v>540000</v>
      </c>
      <c r="F15" s="9">
        <f>D15*E15</f>
        <v>37800000</v>
      </c>
      <c r="G15" s="7">
        <f>C15*F15*12</f>
        <v>907200000</v>
      </c>
    </row>
    <row r="16" spans="1:10" ht="24" customHeight="1" x14ac:dyDescent="0.25">
      <c r="A16" s="93" t="s">
        <v>56</v>
      </c>
      <c r="B16" s="4" t="s">
        <v>10</v>
      </c>
      <c r="C16" s="93">
        <v>2</v>
      </c>
      <c r="D16" s="4">
        <v>50</v>
      </c>
      <c r="E16" s="9">
        <v>540000</v>
      </c>
      <c r="F16" s="9">
        <f>D16*E16</f>
        <v>27000000</v>
      </c>
      <c r="G16" s="7">
        <f>C16*F16*12</f>
        <v>648000000</v>
      </c>
    </row>
    <row r="17" spans="1:8" s="1" customFormat="1" ht="14.25" x14ac:dyDescent="0.2">
      <c r="A17" s="94" t="s">
        <v>11</v>
      </c>
      <c r="B17" s="95" t="s">
        <v>57</v>
      </c>
      <c r="C17" s="96">
        <f>C18+C34+C35+C38+C42</f>
        <v>33590</v>
      </c>
      <c r="D17" s="96"/>
      <c r="E17" s="96"/>
      <c r="F17" s="96"/>
      <c r="G17" s="97">
        <f t="shared" ref="G17" si="0">G18+G34+G35+G38+G42</f>
        <v>268576560000</v>
      </c>
    </row>
    <row r="18" spans="1:8" s="1" customFormat="1" ht="14.25" x14ac:dyDescent="0.2">
      <c r="A18" s="2">
        <v>1</v>
      </c>
      <c r="B18" s="25" t="s">
        <v>58</v>
      </c>
      <c r="C18" s="12">
        <f>C19+C28+C31</f>
        <v>390</v>
      </c>
      <c r="D18" s="12"/>
      <c r="E18" s="12"/>
      <c r="F18" s="12"/>
      <c r="G18" s="30">
        <f>G19+G22+G25+G28+G31</f>
        <v>5488560000</v>
      </c>
    </row>
    <row r="19" spans="1:8" s="1" customFormat="1" ht="60" x14ac:dyDescent="0.2">
      <c r="A19" s="13">
        <v>1.1000000000000001</v>
      </c>
      <c r="B19" s="23" t="s">
        <v>59</v>
      </c>
      <c r="C19" s="98">
        <f>C20+C21</f>
        <v>200</v>
      </c>
      <c r="D19" s="12"/>
      <c r="E19" s="12"/>
      <c r="F19" s="8"/>
      <c r="G19" s="99">
        <f>G20+G21</f>
        <v>2462400000</v>
      </c>
      <c r="H19" s="34"/>
    </row>
    <row r="20" spans="1:8" s="1" customFormat="1" x14ac:dyDescent="0.25">
      <c r="A20" s="93" t="s">
        <v>56</v>
      </c>
      <c r="B20" s="20" t="s">
        <v>32</v>
      </c>
      <c r="C20" s="21">
        <v>80</v>
      </c>
      <c r="D20" s="27">
        <v>2.5</v>
      </c>
      <c r="E20" s="9">
        <v>540000</v>
      </c>
      <c r="F20" s="9">
        <f>D20*E20</f>
        <v>1350000</v>
      </c>
      <c r="G20" s="9">
        <f>C20*F20*12</f>
        <v>1296000000</v>
      </c>
    </row>
    <row r="21" spans="1:8" s="1" customFormat="1" x14ac:dyDescent="0.25">
      <c r="A21" s="93" t="s">
        <v>56</v>
      </c>
      <c r="B21" s="20" t="s">
        <v>33</v>
      </c>
      <c r="C21" s="21">
        <v>120</v>
      </c>
      <c r="D21" s="27">
        <v>1.5</v>
      </c>
      <c r="E21" s="9">
        <v>540000</v>
      </c>
      <c r="F21" s="9">
        <f>D21*E21</f>
        <v>810000</v>
      </c>
      <c r="G21" s="9">
        <f>C21*F21*12</f>
        <v>1166400000</v>
      </c>
    </row>
    <row r="22" spans="1:8" s="1" customFormat="1" ht="15.75" customHeight="1" x14ac:dyDescent="0.25">
      <c r="A22" s="93">
        <v>1.2</v>
      </c>
      <c r="B22" s="23" t="s">
        <v>74</v>
      </c>
      <c r="C22" s="21"/>
      <c r="D22" s="27"/>
      <c r="E22" s="9"/>
      <c r="F22" s="9"/>
      <c r="G22" s="9">
        <f>G24+G23</f>
        <v>110160000</v>
      </c>
    </row>
    <row r="23" spans="1:8" s="1" customFormat="1" x14ac:dyDescent="0.25">
      <c r="A23" s="93" t="s">
        <v>56</v>
      </c>
      <c r="B23" s="20" t="s">
        <v>32</v>
      </c>
      <c r="C23" s="21">
        <v>2</v>
      </c>
      <c r="D23" s="27">
        <v>2.5</v>
      </c>
      <c r="E23" s="9">
        <v>540000</v>
      </c>
      <c r="F23" s="9">
        <f>D23*E23</f>
        <v>1350000</v>
      </c>
      <c r="G23" s="9">
        <f>C23*F23*12</f>
        <v>32400000</v>
      </c>
    </row>
    <row r="24" spans="1:8" s="1" customFormat="1" x14ac:dyDescent="0.25">
      <c r="A24" s="93" t="s">
        <v>56</v>
      </c>
      <c r="B24" s="20" t="s">
        <v>33</v>
      </c>
      <c r="C24" s="21">
        <v>8</v>
      </c>
      <c r="D24" s="27">
        <v>1.5</v>
      </c>
      <c r="E24" s="9">
        <v>540000</v>
      </c>
      <c r="F24" s="9">
        <f>D24*E24</f>
        <v>810000</v>
      </c>
      <c r="G24" s="9">
        <f>C24*F24*12</f>
        <v>77760000</v>
      </c>
    </row>
    <row r="25" spans="1:8" s="1" customFormat="1" ht="30" x14ac:dyDescent="0.25">
      <c r="A25" s="93">
        <v>1.3</v>
      </c>
      <c r="B25" s="23" t="s">
        <v>73</v>
      </c>
      <c r="C25" s="21"/>
      <c r="D25" s="27"/>
      <c r="E25" s="9"/>
      <c r="F25" s="9"/>
      <c r="G25" s="9">
        <f>G26+G27</f>
        <v>534600000</v>
      </c>
    </row>
    <row r="26" spans="1:8" s="1" customFormat="1" x14ac:dyDescent="0.25">
      <c r="A26" s="93" t="s">
        <v>56</v>
      </c>
      <c r="B26" s="20" t="s">
        <v>32</v>
      </c>
      <c r="C26" s="21">
        <v>15</v>
      </c>
      <c r="D26" s="27">
        <v>2.5</v>
      </c>
      <c r="E26" s="9">
        <v>540000</v>
      </c>
      <c r="F26" s="9">
        <f>D26*E26</f>
        <v>1350000</v>
      </c>
      <c r="G26" s="9">
        <f>C26*F26*12</f>
        <v>243000000</v>
      </c>
    </row>
    <row r="27" spans="1:8" s="1" customFormat="1" x14ac:dyDescent="0.25">
      <c r="A27" s="93" t="s">
        <v>56</v>
      </c>
      <c r="B27" s="20" t="s">
        <v>33</v>
      </c>
      <c r="C27" s="21">
        <v>30</v>
      </c>
      <c r="D27" s="27">
        <v>1.5</v>
      </c>
      <c r="E27" s="9">
        <v>540000</v>
      </c>
      <c r="F27" s="9">
        <f>D27*E27</f>
        <v>810000</v>
      </c>
      <c r="G27" s="9">
        <f>C27*F27*12</f>
        <v>291600000</v>
      </c>
    </row>
    <row r="28" spans="1:8" s="1" customFormat="1" ht="137.25" customHeight="1" x14ac:dyDescent="0.25">
      <c r="A28" s="22">
        <v>1.4</v>
      </c>
      <c r="B28" s="23" t="s">
        <v>72</v>
      </c>
      <c r="C28" s="98">
        <f>C29+C30</f>
        <v>170</v>
      </c>
      <c r="D28" s="100"/>
      <c r="E28" s="9"/>
      <c r="F28" s="9"/>
      <c r="G28" s="9">
        <f>G29+G30</f>
        <v>2106000000</v>
      </c>
    </row>
    <row r="29" spans="1:8" s="1" customFormat="1" x14ac:dyDescent="0.25">
      <c r="A29" s="93" t="s">
        <v>56</v>
      </c>
      <c r="B29" s="20" t="s">
        <v>32</v>
      </c>
      <c r="C29" s="21">
        <v>70</v>
      </c>
      <c r="D29" s="27">
        <v>2.5</v>
      </c>
      <c r="E29" s="9">
        <v>540000</v>
      </c>
      <c r="F29" s="9">
        <f>D29*E29</f>
        <v>1350000</v>
      </c>
      <c r="G29" s="9">
        <f>C29*F29*12</f>
        <v>1134000000</v>
      </c>
    </row>
    <row r="30" spans="1:8" s="1" customFormat="1" x14ac:dyDescent="0.25">
      <c r="A30" s="93" t="s">
        <v>56</v>
      </c>
      <c r="B30" s="20" t="s">
        <v>33</v>
      </c>
      <c r="C30" s="21">
        <v>100</v>
      </c>
      <c r="D30" s="27">
        <v>1.5</v>
      </c>
      <c r="E30" s="9">
        <v>540000</v>
      </c>
      <c r="F30" s="9">
        <f>D30*E30</f>
        <v>810000</v>
      </c>
      <c r="G30" s="9">
        <f>C30*F30*12</f>
        <v>972000000</v>
      </c>
    </row>
    <row r="31" spans="1:8" s="1" customFormat="1" x14ac:dyDescent="0.25">
      <c r="A31" s="22">
        <v>1.3</v>
      </c>
      <c r="B31" s="23" t="s">
        <v>60</v>
      </c>
      <c r="C31" s="98">
        <f>C32+C33</f>
        <v>20</v>
      </c>
      <c r="D31" s="100"/>
      <c r="E31" s="9"/>
      <c r="F31" s="9"/>
      <c r="G31" s="9">
        <f>G32+G33</f>
        <v>275400000</v>
      </c>
    </row>
    <row r="32" spans="1:8" s="1" customFormat="1" x14ac:dyDescent="0.25">
      <c r="A32" s="93" t="s">
        <v>56</v>
      </c>
      <c r="B32" s="20" t="s">
        <v>32</v>
      </c>
      <c r="C32" s="21">
        <v>5</v>
      </c>
      <c r="D32" s="27">
        <v>2.5</v>
      </c>
      <c r="E32" s="9">
        <v>540000</v>
      </c>
      <c r="F32" s="9">
        <f>D32*E32</f>
        <v>1350000</v>
      </c>
      <c r="G32" s="9">
        <f>C32*F32*12</f>
        <v>81000000</v>
      </c>
    </row>
    <row r="33" spans="1:7" s="1" customFormat="1" x14ac:dyDescent="0.25">
      <c r="A33" s="93" t="s">
        <v>56</v>
      </c>
      <c r="B33" s="20" t="s">
        <v>33</v>
      </c>
      <c r="C33" s="21">
        <v>15</v>
      </c>
      <c r="D33" s="27">
        <v>2</v>
      </c>
      <c r="E33" s="9">
        <v>540000</v>
      </c>
      <c r="F33" s="9">
        <f>D33*E33</f>
        <v>1080000</v>
      </c>
      <c r="G33" s="9">
        <f>C33*F33*12</f>
        <v>194400000</v>
      </c>
    </row>
    <row r="34" spans="1:7" s="1" customFormat="1" ht="57" x14ac:dyDescent="0.2">
      <c r="A34" s="13">
        <v>2</v>
      </c>
      <c r="B34" s="14" t="s">
        <v>75</v>
      </c>
      <c r="C34" s="12">
        <v>200</v>
      </c>
      <c r="D34" s="101">
        <v>1.5</v>
      </c>
      <c r="E34" s="32">
        <v>540000</v>
      </c>
      <c r="F34" s="32">
        <f>D34*E34</f>
        <v>810000</v>
      </c>
      <c r="G34" s="32">
        <f>C34*F34*12</f>
        <v>1944000000</v>
      </c>
    </row>
    <row r="35" spans="1:7" s="1" customFormat="1" ht="85.5" x14ac:dyDescent="0.2">
      <c r="A35" s="19">
        <v>3</v>
      </c>
      <c r="B35" s="14" t="s">
        <v>61</v>
      </c>
      <c r="C35" s="18">
        <f>C36+C37</f>
        <v>3500</v>
      </c>
      <c r="D35" s="31"/>
      <c r="E35" s="32"/>
      <c r="F35" s="32"/>
      <c r="G35" s="32">
        <f>G36+G37</f>
        <v>36288000000</v>
      </c>
    </row>
    <row r="36" spans="1:7" x14ac:dyDescent="0.25">
      <c r="A36" s="19"/>
      <c r="B36" s="20" t="s">
        <v>62</v>
      </c>
      <c r="C36" s="21">
        <v>2800</v>
      </c>
      <c r="D36" s="27">
        <v>1.5</v>
      </c>
      <c r="E36" s="9">
        <v>540000</v>
      </c>
      <c r="F36" s="28">
        <f>D36*E36</f>
        <v>810000</v>
      </c>
      <c r="G36" s="9">
        <f>F36*C36*12</f>
        <v>27216000000</v>
      </c>
    </row>
    <row r="37" spans="1:7" x14ac:dyDescent="0.25">
      <c r="A37" s="19"/>
      <c r="B37" s="20" t="s">
        <v>63</v>
      </c>
      <c r="C37" s="21">
        <v>700</v>
      </c>
      <c r="D37" s="21">
        <v>2</v>
      </c>
      <c r="E37" s="9">
        <v>540000</v>
      </c>
      <c r="F37" s="28">
        <f>D37*E37</f>
        <v>1080000</v>
      </c>
      <c r="G37" s="9">
        <f>F37*C37*12</f>
        <v>9072000000</v>
      </c>
    </row>
    <row r="38" spans="1:7" ht="28.5" x14ac:dyDescent="0.25">
      <c r="A38" s="13">
        <v>4</v>
      </c>
      <c r="B38" s="14" t="s">
        <v>64</v>
      </c>
      <c r="C38" s="15">
        <f>C39+C40+C41</f>
        <v>19100</v>
      </c>
      <c r="D38" s="31"/>
      <c r="E38" s="15"/>
      <c r="F38" s="10">
        <f>D38*E38</f>
        <v>0</v>
      </c>
      <c r="G38" s="10">
        <f>G39+G40+G41</f>
        <v>123768000000</v>
      </c>
    </row>
    <row r="39" spans="1:7" s="6" customFormat="1" ht="75" x14ac:dyDescent="0.25">
      <c r="A39" s="22">
        <v>4.0999999999999996</v>
      </c>
      <c r="B39" s="23" t="s">
        <v>65</v>
      </c>
      <c r="C39" s="98">
        <v>800</v>
      </c>
      <c r="D39" s="100">
        <v>1</v>
      </c>
      <c r="E39" s="102">
        <v>540000</v>
      </c>
      <c r="F39" s="28">
        <v>540000</v>
      </c>
      <c r="G39" s="103">
        <f>F39*C39*12</f>
        <v>5184000000</v>
      </c>
    </row>
    <row r="40" spans="1:7" s="6" customFormat="1" ht="60" x14ac:dyDescent="0.25">
      <c r="A40" s="22">
        <v>4.2</v>
      </c>
      <c r="B40" s="23" t="s">
        <v>66</v>
      </c>
      <c r="C40" s="98">
        <v>2800</v>
      </c>
      <c r="D40" s="100">
        <v>1</v>
      </c>
      <c r="E40" s="28">
        <v>540000</v>
      </c>
      <c r="F40" s="28">
        <v>540000</v>
      </c>
      <c r="G40" s="103">
        <f t="shared" ref="G40:G41" si="1">F40*C40*12</f>
        <v>18144000000</v>
      </c>
    </row>
    <row r="41" spans="1:7" s="6" customFormat="1" ht="45" x14ac:dyDescent="0.25">
      <c r="A41" s="22">
        <v>4.3</v>
      </c>
      <c r="B41" s="23" t="s">
        <v>67</v>
      </c>
      <c r="C41" s="98">
        <v>15500</v>
      </c>
      <c r="D41" s="100">
        <v>1</v>
      </c>
      <c r="E41" s="103">
        <v>540000</v>
      </c>
      <c r="F41" s="28">
        <f>D41*E41</f>
        <v>540000</v>
      </c>
      <c r="G41" s="103">
        <f t="shared" si="1"/>
        <v>100440000000</v>
      </c>
    </row>
    <row r="42" spans="1:7" ht="171" x14ac:dyDescent="0.25">
      <c r="A42" s="13">
        <v>5</v>
      </c>
      <c r="B42" s="14" t="s">
        <v>68</v>
      </c>
      <c r="C42" s="12">
        <v>10400</v>
      </c>
      <c r="D42" s="12" t="s">
        <v>27</v>
      </c>
      <c r="E42" s="10">
        <v>540000</v>
      </c>
      <c r="F42" s="10">
        <v>810000</v>
      </c>
      <c r="G42" s="10">
        <f>C42*F42*12</f>
        <v>101088000000</v>
      </c>
    </row>
    <row r="43" spans="1:7" ht="28.5" x14ac:dyDescent="0.25">
      <c r="A43" s="104" t="s">
        <v>69</v>
      </c>
      <c r="B43" s="105" t="s">
        <v>70</v>
      </c>
      <c r="C43" s="96">
        <v>112000</v>
      </c>
      <c r="D43" s="106"/>
      <c r="E43" s="106"/>
      <c r="F43" s="107">
        <v>60000</v>
      </c>
      <c r="G43" s="108">
        <f>C43*F43*12</f>
        <v>80640000000</v>
      </c>
    </row>
    <row r="44" spans="1:7" ht="28.5" x14ac:dyDescent="0.25">
      <c r="A44" s="104" t="s">
        <v>71</v>
      </c>
      <c r="B44" s="105" t="s">
        <v>35</v>
      </c>
      <c r="C44" s="96">
        <v>50</v>
      </c>
      <c r="D44" s="91">
        <v>20</v>
      </c>
      <c r="E44" s="109">
        <v>540000</v>
      </c>
      <c r="F44" s="92">
        <f>D44*E44</f>
        <v>10800000</v>
      </c>
      <c r="G44" s="108">
        <f>C44*F44*12</f>
        <v>6480000000</v>
      </c>
    </row>
  </sheetData>
  <mergeCells count="8">
    <mergeCell ref="D13:F13"/>
    <mergeCell ref="A2:G2"/>
    <mergeCell ref="A3:G3"/>
    <mergeCell ref="A5:A7"/>
    <mergeCell ref="B5:B7"/>
    <mergeCell ref="C5:G5"/>
    <mergeCell ref="C6:C7"/>
    <mergeCell ref="D6:F6"/>
  </mergeCells>
  <pageMargins left="0" right="0" top="0" bottom="0" header="0.3" footer="0.3"/>
  <pageSetup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PL 1 thực hiện 815</vt:lpstr>
      <vt:lpstr>PL 04 KP 2027 GIỮ 815</vt:lpstr>
      <vt:lpstr>PL 3 KP Dự thảo NQ</vt:lpstr>
      <vt:lpstr>'PL 1 thực hiện 815'!Print_Titles</vt:lpstr>
      <vt:lpstr>'PL 3 KP Dự thảo NQ'!Print_Titles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2026-09-15T07:39:42Z</cp:lastPrinted>
  <dcterms:created xsi:type="dcterms:W3CDTF">2025-11-17T08:43:07Z</dcterms:created>
  <dcterms:modified xsi:type="dcterms:W3CDTF">2026-09-16T02:58:26Z</dcterms:modified>
</cp:coreProperties>
</file>